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5" activeTab="11"/>
  </bookViews>
  <sheets>
    <sheet name="Orientações" sheetId="1" state="hidden" r:id="rId1"/>
    <sheet name="Servente" sheetId="2" state="hidden" r:id="rId2"/>
    <sheet name="Auxiliar Administrativo" sheetId="11" r:id="rId3"/>
    <sheet name="Copeiro (a)" sheetId="5" r:id="rId4"/>
    <sheet name="Motorista Interestadual" sheetId="8" r:id="rId5"/>
    <sheet name="Eletricista" sheetId="16" r:id="rId6"/>
    <sheet name="Auxiliar de Manutenção Predial" sheetId="17" r:id="rId7"/>
    <sheet name="Diárias" sheetId="15" r:id="rId8"/>
    <sheet name="Uniformes" sheetId="12" r:id="rId9"/>
    <sheet name="Materiais e Equipamentos" sheetId="14" r:id="rId10"/>
    <sheet name="EPC" sheetId="18" r:id="rId11"/>
    <sheet name="RESUMO" sheetId="13" r:id="rId12"/>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<sst xmlns="http://schemas.openxmlformats.org/spreadsheetml/2006/main" count="2468" uniqueCount="470">
  <si>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</si>
  <si>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</si>
  <si>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</si>
  <si>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</si>
  <si>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</si>
  <si>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</si>
  <si>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</si>
  <si>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</si>
  <si>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</si>
  <si>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</si>
  <si>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</si>
  <si>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</si>
  <si>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</si>
  <si>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</si>
  <si>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</si>
  <si>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</si>
  <si>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</si>
  <si>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</si>
  <si>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</si>
  <si>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</si>
  <si>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</si>
  <si>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</si>
  <si>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</si>
  <si>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</si>
  <si>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</si>
  <si>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</si>
  <si>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</si>
  <si>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</si>
  <si>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</si>
  <si>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</si>
  <si>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</si>
  <si>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</si>
  <si>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</si>
  <si>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</si>
  <si>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</si>
  <si>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</si>
  <si>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</si>
  <si>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</si>
  <si>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</si>
  <si>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</si>
  <si>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</si>
  <si>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</si>
  <si>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</si>
  <si>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</si>
  <si>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</si>
  <si>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</si>
  <si>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</si>
  <si>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</si>
  <si>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</si>
  <si>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</si>
  <si>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</si>
  <si>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</si>
  <si>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</si>
  <si>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</si>
  <si>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</si>
  <si>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</si>
  <si>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</si>
  <si>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</si>
  <si>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</si>
  <si>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</si>
  <si>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</si>
  <si>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</si>
  <si>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</si>
  <si>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</si>
  <si>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</si>
  <si>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</si>
  <si>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</si>
  <si>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</si>
  <si>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</si>
  <si>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</si>
  <si>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</si>
  <si>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</si>
  <si>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</si>
  <si>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</si>
  <si>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</si>
  <si>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</si>
  <si>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</si>
  <si>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</si>
  <si>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</si>
  <si>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</si>
  <si>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</si>
  <si>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</si>
  <si>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</si>
  <si>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</si>
  <si>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</si>
  <si>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</si>
  <si>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</si>
  <si>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</si>
  <si>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</si>
  <si>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</si>
  <si>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</si>
  <si>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</si>
  <si>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</si>
  <si>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</si>
  <si>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</si>
  <si>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</si>
  <si>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</si>
  <si>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</si>
  <si>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</si>
  <si>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</si>
  <si>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</si>
  <si>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</si>
  <si>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</si>
  <si>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</si>
  <si>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</si>
  <si>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</si>
  <si>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</si>
  <si>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</si>
  <si>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</si>
  <si>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</si>
  <si>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</si>
  <si>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</si>
  <si>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</si>
  <si>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</si>
  <si>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</si>
  <si>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</si>
  <si>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</si>
  <si>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</si>
  <si>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</si>
  <si>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</si>
  <si>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</si>
  <si>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</si>
  <si>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</si>
  <si>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</si>
  <si>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</si>
  <si>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</si>
  <si>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</si>
  <si>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</si>
  <si>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</si>
  <si>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</si>
  <si>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</si>
  <si>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</si>
  <si>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</si>
  <si>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</si>
  <si>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</si>
  <si>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</si>
  <si>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</si>
  <si>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</si>
  <si>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</si>
  <si>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</si>
  <si>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</si>
  <si>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</si>
  <si>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</si>
  <si>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</si>
  <si>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</si>
  <si>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</si>
  <si>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</si>
  <si>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</si>
  <si>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</si>
  <si>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</si>
  <si>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</si>
  <si>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</si>
  <si>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</si>
  <si>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</si>
  <si>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</si>
  <si>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</si>
  <si>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</si>
  <si>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</si>
  <si>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</si>
  <si>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</si>
  <si>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</si>
  <si>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</si>
  <si>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</si>
  <si>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</si>
  <si>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</si>
  <si>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</si>
  <si>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</si>
  <si>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</si>
  <si>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</si>
  <si>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</si>
  <si>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</si>
  <si>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</si>
  <si>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</si>
  <si>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</si>
  <si>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</si>
  <si>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</si>
  <si>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</si>
  <si>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</si>
  <si>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</si>
  <si>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</si>
  <si>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</si>
  <si>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</si>
  <si>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</si>
  <si>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</si>
  <si>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</si>
  <si>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</si>
  <si>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</si>
  <si>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</si>
  <si>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</si>
  <si>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</si>
  <si>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</si>
  <si>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</si>
  <si>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</si>
  <si>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</si>
  <si>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</si>
  <si>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</si>
  <si>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</si>
  <si>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</si>
  <si>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</si>
  <si>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</si>
  <si>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</si>
  <si>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</si>
  <si>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</si>
  <si>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</si>
  <si>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</si>
  <si>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</si>
  <si>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</si>
  <si>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</si>
  <si>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</si>
  <si>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</si>
  <si>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</si>
  <si>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</si>
  <si>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</si>
  <si>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</si>
  <si>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</si>
  <si>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</si>
  <si>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</si>
  <si>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</si>
  <si>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Copeiro(a)</t>
  </si>
  <si>
    <t>5134-25</t>
  </si>
  <si>
    <t>GRUPO I</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</si>
  <si>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</si>
  <si>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</si>
  <si>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</si>
  <si>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</si>
  <si>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</si>
  <si>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</si>
  <si>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</si>
  <si>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</si>
  <si>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</si>
  <si>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</si>
  <si>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</si>
  <si>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</si>
  <si>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Auxiliar de Manutenção Predial</t>
  </si>
  <si>
    <t>5143-10</t>
  </si>
  <si>
    <t>GRUPO IX</t>
  </si>
  <si>
    <t>DIÁRIAS</t>
  </si>
  <si>
    <t>QUANTIDADE ESTIMADA ANUAL DE DIÁRIAS</t>
  </si>
  <si>
    <t>VALOR UNITÁRIO</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</si>
  <si>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</si>
  <si>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</si>
  <si>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</si>
  <si>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</si>
  <si>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</si>
  <si>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</si>
  <si>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</si>
  <si>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</si>
  <si>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</si>
  <si>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</si>
  <si>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</si>
  <si>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</si>
  <si>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</si>
  <si>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</si>
  <si>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</si>
  <si>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</si>
  <si>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</si>
  <si>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</si>
  <si>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</si>
  <si>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</si>
  <si>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</si>
  <si>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</si>
  <si>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</si>
  <si>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</si>
  <si>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</si>
  <si>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</si>
  <si>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</si>
  <si>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</si>
  <si>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</si>
  <si>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</si>
  <si>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</si>
  <si>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</si>
  <si>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</si>
  <si>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</si>
  <si>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</si>
  <si>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</si>
  <si>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</si>
  <si>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</si>
  <si>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</si>
  <si>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</si>
  <si>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</si>
  <si>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</si>
  <si>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</si>
  <si>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COPEIRO (A)</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</si>
  <si>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</si>
  <si>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</si>
  <si>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</si>
  <si>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</si>
  <si>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</si>
  <si>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</si>
  <si>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</si>
  <si>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</si>
  <si>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</si>
  <si>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</si>
  <si>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</si>
  <si>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</si>
  <si>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</si>
  <si>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</si>
  <si>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</si>
  <si>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</si>
  <si>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</si>
  <si>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</si>
  <si>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</si>
  <si>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</si>
  <si>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</si>
  <si>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</si>
  <si>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</si>
  <si>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</si>
  <si>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</si>
  <si>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</si>
  <si>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</si>
  <si>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</si>
  <si>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</si>
  <si>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</si>
  <si>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</si>
  <si>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</si>
  <si>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</si>
  <si>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PEDREIRO</t>
  </si>
  <si>
    <t>PINTOR</t>
  </si>
  <si>
    <r>
      <rPr>
        <i/>
        <sz val="11"/>
        <color rgb="FFFF0000"/>
        <rFont val="Carlito"/>
        <charset val="134"/>
      </rPr>
      <t>Calçado de segurança tipo botina, confeccionado em couro vaqueta, fechamento em elástico, com biqueira de aço, solado em poliuretano</t>
    </r>
    <r>
      <rPr>
        <i/>
        <sz val="11"/>
        <color rgb="FFFF0000"/>
        <rFont val="Arial"/>
        <charset val="134"/>
      </rPr>
      <t> </t>
    </r>
    <r>
      <rPr>
        <i/>
        <sz val="11"/>
        <color rgb="FFFF0000"/>
        <rFont val="Carlito"/>
        <charset val="134"/>
      </rPr>
      <t>bidensidade.</t>
    </r>
  </si>
  <si>
    <t>TÉCNICO MECÂNICO EM REFRIGERAÇÃO</t>
  </si>
  <si>
    <r>
      <rPr>
        <i/>
        <sz val="11"/>
        <color rgb="FFFF0000"/>
        <rFont val="Carlito"/>
        <charset val="134"/>
      </rPr>
      <t>Calçado ocupacional de uso profissional, tipo bota PVC cano longo, impermeável, confeccionado em policloreto de vinila (PVC), com resistência química, sem biqueira, propriedades antiderrapantes,</t>
    </r>
    <r>
      <rPr>
        <i/>
        <sz val="11"/>
        <color rgb="FFFF0000"/>
        <rFont val="Arial"/>
        <charset val="134"/>
      </rPr>
      <t> </t>
    </r>
    <r>
      <rPr>
        <i/>
        <sz val="11"/>
        <color rgb="FFFF0000"/>
        <rFont val="Carlito"/>
        <charset val="134"/>
      </rPr>
      <t>para uso em locais alagadiços.</t>
    </r>
  </si>
  <si>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</si>
  <si>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</si>
  <si>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</si>
  <si>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</si>
  <si>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</si>
  <si>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</si>
  <si>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</si>
  <si>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</si>
  <si>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</si>
  <si>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</si>
  <si>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</si>
  <si>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</si>
  <si>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</si>
  <si>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</si>
  <si>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</si>
  <si>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</si>
  <si>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</si>
  <si>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</si>
  <si>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</si>
  <si>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</si>
  <si>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</si>
  <si>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</si>
  <si>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</si>
  <si>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</si>
  <si>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</si>
  <si>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</si>
  <si>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</si>
  <si>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</si>
  <si>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</si>
  <si>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</si>
  <si>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</si>
  <si>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</si>
  <si>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</si>
  <si>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</si>
  <si>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</si>
  <si>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</si>
  <si>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</si>
  <si>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</si>
  <si>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</si>
  <si>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</si>
  <si>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</si>
  <si>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</si>
  <si>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</si>
  <si>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</si>
  <si>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</si>
  <si>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</si>
  <si>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</si>
  <si>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</si>
  <si>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</si>
  <si>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</si>
  <si>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</si>
  <si>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</si>
  <si>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</si>
  <si>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</si>
  <si>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</si>
  <si>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</si>
  <si>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</si>
  <si>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</si>
  <si>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</si>
  <si>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</si>
  <si>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</si>
  <si>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</si>
  <si>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</si>
  <si>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</si>
  <si>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</si>
  <si>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</si>
  <si>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</si>
  <si>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</si>
  <si>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</si>
  <si>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</si>
  <si>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</si>
  <si>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</si>
  <si>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</si>
  <si>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</si>
  <si>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</si>
  <si>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</si>
  <si>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</si>
  <si>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</si>
  <si>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</si>
  <si>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</si>
  <si>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</si>
  <si>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</si>
  <si>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</si>
  <si>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</si>
  <si>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</si>
  <si>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</si>
  <si>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</si>
  <si>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</si>
  <si>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</si>
  <si>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</si>
  <si>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</si>
  <si>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</si>
  <si>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</si>
  <si>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</si>
  <si>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</si>
  <si>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</si>
  <si>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</si>
  <si>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</si>
  <si>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</si>
  <si>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</si>
  <si>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</si>
  <si>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</si>
  <si>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</si>
  <si>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</si>
  <si>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</si>
  <si>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</si>
  <si>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</si>
  <si>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</si>
  <si>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</si>
  <si>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</si>
  <si>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</si>
  <si>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</si>
  <si>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</si>
  <si>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</si>
  <si>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</si>
  <si>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</si>
  <si>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</si>
  <si>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</si>
  <si>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</si>
  <si>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</si>
  <si>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</si>
  <si>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</si>
  <si>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</si>
  <si>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</si>
  <si>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</si>
  <si>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</si>
  <si>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</si>
  <si>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</si>
  <si>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</si>
  <si>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</si>
  <si>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</si>
  <si>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</si>
  <si>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</si>
  <si>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</si>
  <si>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</si>
  <si>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</si>
  <si>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</si>
  <si>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</si>
  <si>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</si>
  <si>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</si>
  <si>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</si>
  <si>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</si>
  <si>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</si>
  <si>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</si>
  <si>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PRESTAÇÃO DE SERVIÇOS DE APOIO ADMINISTRATIVO - Posto de serviços:</t>
    </r>
    <r>
      <rPr>
        <b/>
        <sz val="11"/>
        <color theme="1"/>
        <rFont val="Calibri"/>
        <charset val="134"/>
        <scheme val="minor"/>
      </rPr>
      <t xml:space="preserve"> COPEIRO (A) - CBO: 5134-25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</si>
  <si>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</si>
  <si>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xml:space="preserve">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</si>
  <si>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</si>
  <si>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t>PAGAMENTO DE DIÁRIAS NACONAIS</t>
  </si>
</sst>
</file>

<file path=xl/styles.xml><?xml version="1.0" encoding="utf-8"?>
<styleSheet xmlns="http://schemas.openxmlformats.org/spreadsheetml/2006/main">
  <numFmts count="13">
    <numFmt numFmtId="176" formatCode="_-&quot;R$&quot;* #,##0_-;\-&quot;R$&quot;* #,##0_-;_-&quot;R$&quot;* &quot;-&quot;_-;_-@_-"/>
    <numFmt numFmtId="177" formatCode="_-&quot;R$ &quot;* #,##0.00_-;&quot;-R$ &quot;* #,##0.00_-;_-&quot;R$ &quot;* \-??_-;_-@_-"/>
    <numFmt numFmtId="178" formatCode="_-* #,##0.00_-;\-* #,##0.00_-;_-* &quot;-&quot;??_-;_-@_-"/>
    <numFmt numFmtId="179" formatCode="_-* #,##0_-;\-* #,##0_-;_-* &quot;-&quot;_-;_-@_-"/>
    <numFmt numFmtId="180" formatCode="&quot;R$&quot;#,##0.00_);[Red]\(&quot;R$&quot;#,##0.00\)"/>
    <numFmt numFmtId="181" formatCode="&quot;R$&quot;\ #,##0.00_);[Red]\(&quot;R$&quot;\ #,##0.00\)"/>
    <numFmt numFmtId="182" formatCode="&quot;R$&quot;\ #,##0.00"/>
    <numFmt numFmtId="183" formatCode="_-&quot;R$&quot;* #,##0.00_-;\-&quot;R$&quot;* #,##0.00_-;_-&quot;R$&quot;* &quot;-&quot;??_-;_-@_-"/>
    <numFmt numFmtId="184" formatCode="&quot;R$&quot;#,##0.00_);[Red]&quot;(R$&quot;#,##0.00\)"/>
    <numFmt numFmtId="185" formatCode="0.0000_ "/>
    <numFmt numFmtId="186" formatCode="&quot;R$ &quot;#,##0.00"/>
    <numFmt numFmtId="187" formatCode="0.00_ "/>
    <numFmt numFmtId="188" formatCode="&quot;R$&quot;#,##0.00"/>
  </numFmts>
  <fonts count="6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i/>
      <sz val="11"/>
      <color theme="0"/>
      <name val="Arial"/>
      <charset val="134"/>
    </font>
    <font>
      <b/>
      <i/>
      <sz val="11"/>
      <color rgb="FF000000"/>
      <name val="Arial"/>
      <charset val="134"/>
    </font>
    <font>
      <b/>
      <i/>
      <sz val="11"/>
      <name val="Arial"/>
      <charset val="134"/>
    </font>
    <font>
      <i/>
      <sz val="11"/>
      <color rgb="FF000000"/>
      <name val="Arial"/>
      <charset val="134"/>
    </font>
    <font>
      <sz val="11"/>
      <color rgb="FF000000"/>
      <name val="Arial"/>
      <charset val="134"/>
    </font>
    <font>
      <sz val="11"/>
      <name val="Arial"/>
      <charset val="134"/>
    </font>
    <font>
      <b/>
      <i/>
      <sz val="11"/>
      <color theme="1"/>
      <name val="Arial"/>
      <charset val="134"/>
    </font>
    <font>
      <i/>
      <sz val="11"/>
      <name val="Arial"/>
      <charset val="134"/>
    </font>
    <font>
      <i/>
      <sz val="11"/>
      <color rgb="FF000000"/>
      <name val="Calibri"/>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b/>
      <sz val="11"/>
      <color rgb="FFFF0000"/>
      <name val="Calibri"/>
      <charset val="134"/>
    </font>
    <font>
      <sz val="11"/>
      <color rgb="FFFF0000"/>
      <name val="Calibri"/>
      <charset val="134"/>
    </font>
    <font>
      <i/>
      <sz val="11"/>
      <color rgb="FFFF0000"/>
      <name val="Calibri"/>
      <charset val="134"/>
    </font>
    <font>
      <i/>
      <sz val="11"/>
      <color rgb="FFFF0000"/>
      <name val="Carlito"/>
      <charset val="134"/>
    </font>
    <font>
      <b/>
      <i/>
      <sz val="11"/>
      <color rgb="FFFF0000"/>
      <name val="Calibri"/>
      <charset val="134"/>
    </font>
    <font>
      <b/>
      <sz val="12"/>
      <name val="Calibri"/>
      <charset val="134"/>
      <scheme val="minor"/>
    </font>
    <font>
      <sz val="11"/>
      <color indexed="8"/>
      <name val="Calibri"/>
      <charset val="134"/>
    </font>
    <font>
      <sz val="12"/>
      <name val="Calibri"/>
      <charset val="134"/>
      <scheme val="minor"/>
    </font>
    <font>
      <sz val="11"/>
      <name val="Calibri"/>
      <charset val="134"/>
      <scheme val="minor"/>
    </font>
    <font>
      <b/>
      <sz val="12"/>
      <color theme="0"/>
      <name val="Calibri"/>
      <charset val="134"/>
    </font>
    <font>
      <sz val="12"/>
      <name val="Calibri"/>
      <charset val="134"/>
    </font>
    <font>
      <sz val="12"/>
      <color indexed="8"/>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i/>
      <sz val="11"/>
      <color rgb="FF7F7F7F"/>
      <name val="Calibri"/>
      <charset val="0"/>
      <scheme val="minor"/>
    </font>
    <font>
      <sz val="10"/>
      <color theme="1"/>
      <name val="Calibri"/>
      <charset val="134"/>
      <scheme val="minor"/>
    </font>
    <font>
      <sz val="10"/>
      <name val="Arial"/>
      <charset val="134"/>
    </font>
    <font>
      <b/>
      <sz val="11"/>
      <color rgb="FFFA7D00"/>
      <name val="Calibri"/>
      <charset val="0"/>
      <scheme val="minor"/>
    </font>
    <font>
      <b/>
      <sz val="11"/>
      <color theme="3"/>
      <name val="Calibri"/>
      <charset val="134"/>
      <scheme val="minor"/>
    </font>
    <font>
      <b/>
      <sz val="11"/>
      <color rgb="FF3F3F3F"/>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b/>
      <sz val="13"/>
      <color theme="3"/>
      <name val="Calibri"/>
      <charset val="134"/>
      <scheme val="minor"/>
    </font>
    <font>
      <sz val="11"/>
      <color theme="1"/>
      <name val="Calibri"/>
      <charset val="0"/>
      <scheme val="minor"/>
    </font>
    <font>
      <sz val="11"/>
      <color rgb="FFFA7D00"/>
      <name val="Calibri"/>
      <charset val="0"/>
      <scheme val="minor"/>
    </font>
    <font>
      <b/>
      <sz val="11"/>
      <color rgb="FFFFFFFF"/>
      <name val="Calibri"/>
      <charset val="0"/>
      <scheme val="minor"/>
    </font>
    <font>
      <b/>
      <sz val="11"/>
      <color theme="1"/>
      <name val="Calibri"/>
      <charset val="0"/>
      <scheme val="minor"/>
    </font>
    <font>
      <sz val="11"/>
      <color rgb="FF3F3F76"/>
      <name val="Calibri"/>
      <charset val="0"/>
      <scheme val="minor"/>
    </font>
    <font>
      <b/>
      <sz val="15"/>
      <color theme="3"/>
      <name val="Calibri"/>
      <charset val="134"/>
      <scheme val="minor"/>
    </font>
    <font>
      <sz val="11"/>
      <color rgb="FF006100"/>
      <name val="Calibri"/>
      <charset val="0"/>
      <scheme val="minor"/>
    </font>
    <font>
      <u/>
      <sz val="11"/>
      <color rgb="FF800080"/>
      <name val="Calibri"/>
      <charset val="0"/>
      <scheme val="minor"/>
    </font>
    <font>
      <u/>
      <sz val="11"/>
      <color rgb="FF0000FF"/>
      <name val="Calibri"/>
      <charset val="0"/>
      <scheme val="minor"/>
    </font>
    <font>
      <sz val="11"/>
      <color rgb="FF9C0006"/>
      <name val="Calibri"/>
      <charset val="0"/>
      <scheme val="minor"/>
    </font>
    <font>
      <sz val="11"/>
      <color rgb="FF9C6500"/>
      <name val="Calibri"/>
      <charset val="0"/>
      <scheme val="minor"/>
    </font>
    <font>
      <i/>
      <sz val="11"/>
      <color rgb="FFFF0000"/>
      <name val="Arial"/>
      <charset val="134"/>
    </font>
    <font>
      <sz val="10"/>
      <name val="Calibri"/>
      <charset val="134"/>
    </font>
    <font>
      <sz val="10"/>
      <color rgb="FF000000"/>
      <name val="Calibri"/>
      <charset val="134"/>
    </font>
  </fonts>
  <fills count="51">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FFFCC"/>
        <bgColor indexed="64"/>
      </patternFill>
    </fill>
    <fill>
      <patternFill patternType="solid">
        <fgColor rgb="FFF2F2F2"/>
        <bgColor indexed="64"/>
      </patternFill>
    </fill>
    <fill>
      <patternFill patternType="solid">
        <fgColor theme="6"/>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44">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176" fontId="47" fillId="0" borderId="0" applyBorder="0" applyAlignment="0" applyProtection="0"/>
    <xf numFmtId="179" fontId="47" fillId="0" borderId="0" applyBorder="0" applyAlignment="0" applyProtection="0"/>
    <xf numFmtId="0" fontId="55" fillId="25" borderId="0" applyNumberFormat="0" applyBorder="0" applyAlignment="0" applyProtection="0">
      <alignment vertical="center"/>
    </xf>
    <xf numFmtId="9" fontId="0" fillId="0" borderId="0" applyBorder="0" applyProtection="0"/>
    <xf numFmtId="0" fontId="56" fillId="0" borderId="41" applyNumberFormat="0" applyFill="0" applyAlignment="0" applyProtection="0">
      <alignment vertical="center"/>
    </xf>
    <xf numFmtId="0" fontId="57" fillId="26" borderId="42" applyNumberFormat="0" applyAlignment="0" applyProtection="0">
      <alignment vertical="center"/>
    </xf>
    <xf numFmtId="178" fontId="47" fillId="0" borderId="0" applyBorder="0" applyAlignment="0" applyProtection="0"/>
    <xf numFmtId="0" fontId="55" fillId="27" borderId="0" applyNumberFormat="0" applyBorder="0" applyAlignment="0" applyProtection="0">
      <alignment vertical="center"/>
    </xf>
    <xf numFmtId="177" fontId="0" fillId="0" borderId="0" applyBorder="0" applyProtection="0"/>
    <xf numFmtId="0" fontId="62"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55" fillId="31" borderId="0" applyNumberFormat="0" applyBorder="0" applyAlignment="0" applyProtection="0">
      <alignment vertical="center"/>
    </xf>
    <xf numFmtId="0" fontId="46" fillId="22" borderId="36" applyNumberFormat="0" applyFont="0" applyAlignment="0" applyProtection="0">
      <alignment vertical="center"/>
    </xf>
    <xf numFmtId="0" fontId="55" fillId="32" borderId="0" applyNumberFormat="0" applyBorder="0" applyAlignment="0" applyProtection="0">
      <alignment vertical="center"/>
    </xf>
    <xf numFmtId="0" fontId="52"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3" fillId="24" borderId="0" applyNumberFormat="0" applyBorder="0" applyAlignment="0" applyProtection="0">
      <alignment vertical="center"/>
    </xf>
    <xf numFmtId="0" fontId="60" fillId="0" borderId="39" applyNumberFormat="0" applyFill="0" applyAlignment="0" applyProtection="0">
      <alignment vertical="center"/>
    </xf>
    <xf numFmtId="0" fontId="53" fillId="36" borderId="0" applyNumberFormat="0" applyBorder="0" applyAlignment="0" applyProtection="0">
      <alignment vertical="center"/>
    </xf>
    <xf numFmtId="0" fontId="54" fillId="0" borderId="39" applyNumberFormat="0" applyFill="0" applyAlignment="0" applyProtection="0">
      <alignment vertical="center"/>
    </xf>
    <xf numFmtId="0" fontId="53" fillId="35" borderId="0" applyNumberFormat="0" applyBorder="0" applyAlignment="0" applyProtection="0">
      <alignment vertical="center"/>
    </xf>
    <xf numFmtId="0" fontId="49" fillId="0" borderId="40" applyNumberFormat="0" applyFill="0" applyAlignment="0" applyProtection="0">
      <alignment vertical="center"/>
    </xf>
    <xf numFmtId="0" fontId="53" fillId="8" borderId="0" applyNumberFormat="0" applyBorder="0" applyAlignment="0" applyProtection="0">
      <alignment vertical="center"/>
    </xf>
    <xf numFmtId="0" fontId="49" fillId="0" borderId="0" applyNumberFormat="0" applyFill="0" applyBorder="0" applyAlignment="0" applyProtection="0">
      <alignment vertical="center"/>
    </xf>
    <xf numFmtId="0" fontId="59" fillId="28" borderId="37" applyNumberFormat="0" applyAlignment="0" applyProtection="0">
      <alignment vertical="center"/>
    </xf>
    <xf numFmtId="0" fontId="50" fillId="23" borderId="38" applyNumberFormat="0" applyAlignment="0" applyProtection="0">
      <alignment vertical="center"/>
    </xf>
    <xf numFmtId="0" fontId="48" fillId="23" borderId="37" applyNumberFormat="0" applyAlignment="0" applyProtection="0">
      <alignment vertical="center"/>
    </xf>
    <xf numFmtId="0" fontId="58" fillId="0" borderId="43" applyNumberFormat="0" applyFill="0" applyAlignment="0" applyProtection="0">
      <alignment vertical="center"/>
    </xf>
    <xf numFmtId="0" fontId="55" fillId="34" borderId="0" applyNumberFormat="0" applyBorder="0" applyAlignment="0" applyProtection="0">
      <alignment vertical="center"/>
    </xf>
    <xf numFmtId="0" fontId="61" fillId="30" borderId="0" applyNumberFormat="0" applyBorder="0" applyAlignment="0" applyProtection="0">
      <alignment vertical="center"/>
    </xf>
    <xf numFmtId="0" fontId="64" fillId="38" borderId="0" applyNumberFormat="0" applyBorder="0" applyAlignment="0" applyProtection="0">
      <alignment vertical="center"/>
    </xf>
    <xf numFmtId="0" fontId="65" fillId="40" borderId="0" applyNumberFormat="0" applyBorder="0" applyAlignment="0" applyProtection="0">
      <alignment vertical="center"/>
    </xf>
    <xf numFmtId="0" fontId="55" fillId="44" borderId="0" applyNumberFormat="0" applyBorder="0" applyAlignment="0" applyProtection="0">
      <alignment vertical="center"/>
    </xf>
    <xf numFmtId="0" fontId="53" fillId="43" borderId="0" applyNumberFormat="0" applyBorder="0" applyAlignment="0" applyProtection="0">
      <alignment vertical="center"/>
    </xf>
    <xf numFmtId="0" fontId="55" fillId="46" borderId="0" applyNumberFormat="0" applyBorder="0" applyAlignment="0" applyProtection="0">
      <alignment vertical="center"/>
    </xf>
    <xf numFmtId="0" fontId="53" fillId="42" borderId="0" applyNumberFormat="0" applyBorder="0" applyAlignment="0" applyProtection="0">
      <alignment vertical="center"/>
    </xf>
    <xf numFmtId="0" fontId="55" fillId="47" borderId="0" applyNumberFormat="0" applyBorder="0" applyAlignment="0" applyProtection="0">
      <alignment vertical="center"/>
    </xf>
    <xf numFmtId="0" fontId="53" fillId="37" borderId="0" applyNumberFormat="0" applyBorder="0" applyAlignment="0" applyProtection="0">
      <alignment vertical="center"/>
    </xf>
    <xf numFmtId="0" fontId="55" fillId="41" borderId="0" applyNumberFormat="0" applyBorder="0" applyAlignment="0" applyProtection="0">
      <alignment vertical="center"/>
    </xf>
    <xf numFmtId="0" fontId="53" fillId="6" borderId="0" applyNumberFormat="0" applyBorder="0" applyAlignment="0" applyProtection="0">
      <alignment vertical="center"/>
    </xf>
    <xf numFmtId="0" fontId="55" fillId="33" borderId="0" applyNumberFormat="0" applyBorder="0" applyAlignment="0" applyProtection="0">
      <alignment vertical="center"/>
    </xf>
    <xf numFmtId="0" fontId="53" fillId="39" borderId="0" applyNumberFormat="0" applyBorder="0" applyAlignment="0" applyProtection="0">
      <alignment vertical="center"/>
    </xf>
    <xf numFmtId="0" fontId="55" fillId="48" borderId="0" applyNumberFormat="0" applyBorder="0" applyAlignment="0" applyProtection="0">
      <alignment vertical="center"/>
    </xf>
    <xf numFmtId="0" fontId="53" fillId="45" borderId="0" applyNumberFormat="0" applyBorder="0" applyAlignment="0" applyProtection="0">
      <alignment vertical="center"/>
    </xf>
    <xf numFmtId="0" fontId="55" fillId="29" borderId="0" applyNumberFormat="0" applyBorder="0" applyAlignment="0" applyProtection="0">
      <alignment vertical="center"/>
    </xf>
    <xf numFmtId="0" fontId="53" fillId="49" borderId="0" applyNumberFormat="0" applyBorder="0" applyAlignment="0" applyProtection="0">
      <alignment vertical="center"/>
    </xf>
    <xf numFmtId="0" fontId="53" fillId="50" borderId="0" applyNumberFormat="0" applyBorder="0" applyAlignment="0" applyProtection="0">
      <alignment vertical="center"/>
    </xf>
  </cellStyleXfs>
  <cellXfs count="31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81" fontId="2" fillId="0" borderId="0" xfId="0" applyNumberFormat="1" applyFont="1" applyFill="1" applyAlignment="1">
      <alignment horizontal="center" vertical="center"/>
    </xf>
    <xf numFmtId="0" fontId="2" fillId="0" borderId="0" xfId="0" applyFont="1" applyFill="1" applyAlignment="1"/>
    <xf numFmtId="181"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80" fontId="0" fillId="0" borderId="0" xfId="0" applyNumberFormat="1" applyAlignment="1">
      <alignment horizontal="center" vertical="center"/>
    </xf>
    <xf numFmtId="0" fontId="7" fillId="3" borderId="0" xfId="0" applyFont="1" applyFill="1" applyAlignment="1">
      <alignment horizontal="center"/>
    </xf>
    <xf numFmtId="180" fontId="7" fillId="3" borderId="0" xfId="0" applyNumberFormat="1" applyFont="1" applyFill="1" applyAlignment="1">
      <alignment horizontal="center"/>
    </xf>
    <xf numFmtId="0" fontId="7" fillId="3" borderId="0" xfId="0" applyFont="1" applyFill="1" applyAlignment="1">
      <alignment horizontal="center" vertical="center"/>
    </xf>
    <xf numFmtId="180" fontId="7" fillId="3" borderId="0" xfId="0" applyNumberFormat="1" applyFont="1" applyFill="1" applyAlignment="1">
      <alignment horizontal="center" vertical="center"/>
    </xf>
    <xf numFmtId="0" fontId="8" fillId="5" borderId="0" xfId="0" applyFont="1" applyFill="1" applyAlignment="1">
      <alignment horizontal="center" vertical="center"/>
    </xf>
    <xf numFmtId="0" fontId="9" fillId="4" borderId="0" xfId="0" applyFont="1" applyFill="1" applyAlignment="1">
      <alignment horizontal="center" vertical="center" wrapText="1"/>
    </xf>
    <xf numFmtId="0" fontId="10" fillId="4" borderId="0" xfId="0" applyFont="1" applyFill="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justify" vertical="center" wrapText="1"/>
    </xf>
    <xf numFmtId="180" fontId="12" fillId="6" borderId="0" xfId="0" applyNumberFormat="1" applyFont="1" applyFill="1" applyAlignment="1">
      <alignment horizontal="center" vertical="center"/>
    </xf>
    <xf numFmtId="180" fontId="12" fillId="0" borderId="0" xfId="0" applyNumberFormat="1" applyFont="1" applyAlignment="1">
      <alignment horizontal="center" vertical="center"/>
    </xf>
    <xf numFmtId="0" fontId="11" fillId="0" borderId="0" xfId="0" applyFont="1" applyAlignment="1">
      <alignment horizontal="justify" vertical="center"/>
    </xf>
    <xf numFmtId="0" fontId="8" fillId="5" borderId="0" xfId="0" applyFont="1" applyFill="1" applyAlignment="1">
      <alignment horizontal="center"/>
    </xf>
    <xf numFmtId="180" fontId="8" fillId="5" borderId="0" xfId="0" applyNumberFormat="1" applyFont="1" applyFill="1" applyAlignment="1">
      <alignment horizontal="center"/>
    </xf>
    <xf numFmtId="0" fontId="12" fillId="0" borderId="0" xfId="0" applyFont="1"/>
    <xf numFmtId="0" fontId="13" fillId="0" borderId="0" xfId="0" applyFont="1"/>
    <xf numFmtId="0" fontId="14" fillId="5" borderId="0" xfId="0" applyFont="1" applyFill="1" applyAlignment="1">
      <alignment horizontal="center"/>
    </xf>
    <xf numFmtId="0" fontId="10" fillId="5" borderId="0" xfId="0" applyFont="1" applyFill="1" applyAlignment="1">
      <alignment horizontal="center"/>
    </xf>
    <xf numFmtId="0" fontId="15" fillId="7" borderId="0" xfId="0" applyFont="1" applyFill="1" applyAlignment="1">
      <alignment horizontal="center" vertical="center"/>
    </xf>
    <xf numFmtId="0" fontId="15" fillId="7" borderId="0" xfId="0" applyFont="1" applyFill="1" applyAlignment="1">
      <alignment horizontal="center" vertical="center" wrapText="1"/>
    </xf>
    <xf numFmtId="0" fontId="12" fillId="0" borderId="0" xfId="0" applyFont="1" applyAlignment="1">
      <alignment horizontal="justify" vertical="center"/>
    </xf>
    <xf numFmtId="0" fontId="16" fillId="0" borderId="0" xfId="0" applyFont="1" applyAlignment="1">
      <alignment horizontal="center" vertical="center" wrapText="1"/>
    </xf>
    <xf numFmtId="0" fontId="17" fillId="0" borderId="0" xfId="0" applyFont="1" applyFill="1" applyAlignment="1">
      <alignment horizontal="center"/>
    </xf>
    <xf numFmtId="0" fontId="17" fillId="0" borderId="0" xfId="0" applyFont="1" applyFill="1" applyAlignment="1">
      <alignment wrapText="1"/>
    </xf>
    <xf numFmtId="0" fontId="17" fillId="0" borderId="0" xfId="0" applyFont="1" applyFill="1" applyAlignment="1">
      <alignment horizontal="center" vertical="center"/>
    </xf>
    <xf numFmtId="182" fontId="17" fillId="0" borderId="0" xfId="0" applyNumberFormat="1" applyFont="1" applyFill="1" applyAlignment="1">
      <alignment horizontal="center" vertical="center"/>
    </xf>
    <xf numFmtId="0" fontId="18" fillId="8" borderId="4" xfId="0" applyFont="1" applyFill="1" applyBorder="1" applyAlignment="1">
      <alignment horizontal="center"/>
    </xf>
    <xf numFmtId="0" fontId="18" fillId="8" borderId="5" xfId="0" applyFont="1" applyFill="1" applyBorder="1" applyAlignment="1">
      <alignment horizontal="center"/>
    </xf>
    <xf numFmtId="0" fontId="19" fillId="8" borderId="5" xfId="0" applyFont="1" applyFill="1" applyBorder="1" applyAlignment="1">
      <alignment horizontal="center"/>
    </xf>
    <xf numFmtId="0" fontId="18" fillId="8" borderId="6" xfId="0" applyFont="1" applyFill="1" applyBorder="1" applyAlignment="1">
      <alignment horizontal="center"/>
    </xf>
    <xf numFmtId="182" fontId="18" fillId="8" borderId="7" xfId="0" applyNumberFormat="1" applyFont="1" applyFill="1" applyBorder="1" applyAlignment="1">
      <alignment horizontal="center"/>
    </xf>
    <xf numFmtId="0" fontId="18" fillId="8" borderId="8" xfId="0" applyFont="1" applyFill="1" applyBorder="1" applyAlignment="1">
      <alignment horizontal="center"/>
    </xf>
    <xf numFmtId="0" fontId="19" fillId="8" borderId="8" xfId="0" applyFont="1" applyFill="1" applyBorder="1" applyAlignment="1">
      <alignment horizontal="center"/>
    </xf>
    <xf numFmtId="182" fontId="18" fillId="8" borderId="8" xfId="0" applyNumberFormat="1" applyFont="1" applyFill="1" applyBorder="1" applyAlignment="1">
      <alignment horizontal="center"/>
    </xf>
    <xf numFmtId="0" fontId="18" fillId="8" borderId="8" xfId="0" applyNumberFormat="1" applyFont="1" applyFill="1" applyBorder="1" applyAlignment="1">
      <alignment horizontal="center"/>
    </xf>
    <xf numFmtId="0" fontId="17" fillId="0" borderId="0" xfId="0" applyFont="1" applyFill="1" applyAlignment="1"/>
    <xf numFmtId="0" fontId="13" fillId="0" borderId="0" xfId="0" applyFont="1" applyFill="1" applyAlignment="1"/>
    <xf numFmtId="0" fontId="20" fillId="0" borderId="0" xfId="0" applyFont="1" applyFill="1" applyAlignment="1">
      <alignment horizontal="justify" wrapText="1"/>
    </xf>
    <xf numFmtId="0" fontId="17" fillId="0" borderId="0" xfId="0" applyFont="1" applyFill="1" applyAlignment="1">
      <alignment horizontal="justify" wrapText="1"/>
    </xf>
    <xf numFmtId="0" fontId="13"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1" fillId="8" borderId="0" xfId="0" applyFont="1" applyFill="1" applyBorder="1" applyAlignment="1">
      <alignment horizontal="center"/>
    </xf>
    <xf numFmtId="0" fontId="21" fillId="8" borderId="0" xfId="0" applyFont="1" applyFill="1" applyBorder="1" applyAlignment="1">
      <alignment horizontal="center" vertical="center" wrapText="1"/>
    </xf>
    <xf numFmtId="0" fontId="21" fillId="8" borderId="0" xfId="0" applyFont="1" applyFill="1" applyBorder="1" applyAlignment="1">
      <alignment horizontal="center" vertical="center"/>
    </xf>
    <xf numFmtId="0" fontId="22" fillId="9" borderId="0" xfId="0" applyFont="1" applyFill="1" applyAlignment="1">
      <alignment horizontal="center"/>
    </xf>
    <xf numFmtId="0" fontId="22" fillId="9" borderId="0" xfId="0" applyFont="1" applyFill="1" applyAlignment="1">
      <alignment horizontal="center" vertical="center" wrapText="1"/>
    </xf>
    <xf numFmtId="0" fontId="22" fillId="9" borderId="0" xfId="0" applyFont="1" applyFill="1" applyAlignment="1">
      <alignment horizontal="center" vertical="center"/>
    </xf>
    <xf numFmtId="0" fontId="23" fillId="10" borderId="0" xfId="0" applyFont="1" applyFill="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justify" wrapText="1"/>
    </xf>
    <xf numFmtId="180" fontId="24" fillId="11" borderId="0" xfId="0" applyNumberFormat="1" applyFont="1" applyFill="1" applyAlignment="1">
      <alignment horizontal="center" vertical="center" wrapText="1"/>
    </xf>
    <xf numFmtId="180" fontId="24" fillId="0" borderId="0" xfId="0" applyNumberFormat="1" applyFont="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justify" vertical="center" wrapText="1"/>
    </xf>
    <xf numFmtId="0" fontId="6" fillId="0" borderId="0" xfId="0" applyFont="1" applyAlignment="1">
      <alignment horizontal="justify" vertical="center" wrapText="1"/>
    </xf>
    <xf numFmtId="0" fontId="22" fillId="8" borderId="0" xfId="0" applyFont="1" applyFill="1" applyBorder="1" applyAlignment="1">
      <alignment horizontal="center"/>
    </xf>
    <xf numFmtId="0" fontId="22" fillId="8" borderId="0" xfId="0" applyFont="1" applyFill="1" applyBorder="1" applyAlignment="1">
      <alignment horizontal="center" vertical="center" wrapText="1"/>
    </xf>
    <xf numFmtId="0" fontId="22" fillId="8" borderId="0" xfId="0" applyFont="1" applyFill="1" applyBorder="1" applyAlignment="1">
      <alignment horizontal="center" vertical="center"/>
    </xf>
    <xf numFmtId="0" fontId="22" fillId="10" borderId="0" xfId="0" applyFont="1" applyFill="1" applyAlignment="1">
      <alignment horizontal="center" vertical="center" wrapText="1"/>
    </xf>
    <xf numFmtId="180" fontId="3" fillId="3" borderId="0" xfId="0" applyNumberFormat="1" applyFont="1" applyFill="1" applyAlignment="1">
      <alignment horizontal="center"/>
    </xf>
    <xf numFmtId="0" fontId="26" fillId="8" borderId="0" xfId="0" applyFont="1" applyFill="1" applyBorder="1" applyAlignment="1">
      <alignment horizontal="center"/>
    </xf>
    <xf numFmtId="0" fontId="26" fillId="8" borderId="0" xfId="0" applyFont="1" applyFill="1" applyBorder="1" applyAlignment="1">
      <alignment horizontal="center" vertical="center" wrapText="1"/>
    </xf>
    <xf numFmtId="0" fontId="26" fillId="8" borderId="0" xfId="0" applyFont="1" applyFill="1" applyBorder="1" applyAlignment="1">
      <alignment horizontal="center" vertical="center"/>
    </xf>
    <xf numFmtId="0" fontId="26" fillId="9" borderId="0" xfId="0" applyFont="1" applyFill="1" applyAlignment="1">
      <alignment horizontal="center"/>
    </xf>
    <xf numFmtId="0" fontId="26" fillId="9" borderId="0" xfId="0" applyFont="1" applyFill="1" applyAlignment="1">
      <alignment horizontal="center" vertical="center" wrapText="1"/>
    </xf>
    <xf numFmtId="0" fontId="26" fillId="9" borderId="0" xfId="0" applyFont="1" applyFill="1" applyAlignment="1">
      <alignment horizontal="center" vertical="center"/>
    </xf>
    <xf numFmtId="0" fontId="26" fillId="10" borderId="0" xfId="0" applyFont="1" applyFill="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justify" vertical="center" wrapText="1"/>
    </xf>
    <xf numFmtId="180" fontId="27" fillId="11" borderId="0" xfId="0" applyNumberFormat="1" applyFont="1" applyFill="1" applyAlignment="1">
      <alignment horizontal="center" vertical="center" wrapText="1"/>
    </xf>
    <xf numFmtId="180" fontId="27" fillId="0" borderId="0" xfId="0" applyNumberFormat="1" applyFont="1" applyAlignment="1">
      <alignment horizontal="center" vertical="center" wrapText="1"/>
    </xf>
    <xf numFmtId="0" fontId="28" fillId="0" borderId="0" xfId="0" applyFont="1" applyAlignment="1">
      <alignment horizontal="justify" vertical="center" wrapText="1"/>
    </xf>
    <xf numFmtId="0" fontId="29" fillId="0" borderId="0" xfId="0" applyFont="1" applyAlignment="1">
      <alignment horizontal="center" vertical="center" wrapText="1"/>
    </xf>
    <xf numFmtId="0" fontId="30" fillId="3" borderId="0" xfId="0" applyFont="1" applyFill="1" applyAlignment="1">
      <alignment horizontal="center"/>
    </xf>
    <xf numFmtId="180" fontId="30" fillId="3" borderId="0" xfId="0" applyNumberFormat="1" applyFont="1" applyFill="1" applyAlignment="1">
      <alignment horizontal="center"/>
    </xf>
    <xf numFmtId="0" fontId="27" fillId="0" borderId="0" xfId="0" applyFont="1"/>
    <xf numFmtId="0" fontId="27" fillId="0" borderId="0" xfId="0" applyFont="1" applyAlignment="1">
      <alignment horizontal="center" vertical="center"/>
    </xf>
    <xf numFmtId="0" fontId="29" fillId="0" borderId="0" xfId="0" applyFont="1" applyAlignment="1">
      <alignment horizontal="justify" wrapText="1"/>
    </xf>
    <xf numFmtId="0" fontId="31" fillId="8" borderId="9" xfId="19" applyFont="1" applyFill="1" applyBorder="1" applyAlignment="1">
      <alignment horizontal="center"/>
    </xf>
    <xf numFmtId="0" fontId="31" fillId="8" borderId="10" xfId="19" applyFont="1" applyFill="1" applyBorder="1" applyAlignment="1">
      <alignment horizontal="center"/>
    </xf>
    <xf numFmtId="0" fontId="31" fillId="8" borderId="11" xfId="19" applyFont="1" applyFill="1" applyBorder="1" applyAlignment="1">
      <alignment horizontal="center"/>
    </xf>
    <xf numFmtId="0" fontId="31" fillId="10" borderId="12" xfId="19" applyFont="1" applyFill="1" applyBorder="1" applyAlignment="1">
      <alignment horizontal="center" vertical="center" wrapText="1"/>
    </xf>
    <xf numFmtId="0" fontId="31" fillId="10" borderId="13" xfId="19" applyFont="1" applyFill="1" applyBorder="1" applyAlignment="1">
      <alignment horizontal="center" vertical="center" wrapText="1"/>
    </xf>
    <xf numFmtId="0" fontId="31" fillId="10" borderId="14" xfId="19" applyFont="1" applyFill="1" applyBorder="1" applyAlignment="1">
      <alignment horizontal="center" vertical="center" wrapText="1"/>
    </xf>
    <xf numFmtId="0" fontId="31" fillId="10" borderId="15" xfId="19" applyFont="1" applyFill="1" applyBorder="1" applyAlignment="1">
      <alignment horizontal="center" vertical="center" wrapText="1"/>
    </xf>
    <xf numFmtId="0" fontId="31" fillId="9" borderId="12" xfId="19" applyFont="1" applyFill="1" applyBorder="1" applyAlignment="1">
      <alignment horizontal="center" vertical="center" wrapText="1"/>
    </xf>
    <xf numFmtId="0" fontId="31" fillId="9" borderId="13" xfId="19" applyFont="1" applyFill="1" applyBorder="1" applyAlignment="1">
      <alignment horizontal="center" vertical="center" wrapText="1"/>
    </xf>
    <xf numFmtId="0" fontId="31" fillId="9" borderId="14" xfId="19" applyFont="1" applyFill="1" applyBorder="1" applyAlignment="1">
      <alignment horizontal="center" vertical="center"/>
    </xf>
    <xf numFmtId="0" fontId="31" fillId="9" borderId="15" xfId="19" applyFont="1" applyFill="1" applyBorder="1" applyAlignment="1">
      <alignment horizontal="center" vertical="center"/>
    </xf>
    <xf numFmtId="0" fontId="31" fillId="11" borderId="12" xfId="19" applyFont="1" applyFill="1" applyBorder="1" applyAlignment="1">
      <alignment horizontal="center" vertical="center"/>
    </xf>
    <xf numFmtId="183" fontId="31" fillId="11" borderId="13" xfId="9" applyNumberFormat="1" applyFont="1" applyFill="1" applyBorder="1" applyAlignment="1">
      <alignment horizontal="center" vertical="center"/>
    </xf>
    <xf numFmtId="183" fontId="31" fillId="11" borderId="14" xfId="9" applyNumberFormat="1" applyFont="1" applyFill="1" applyBorder="1" applyAlignment="1">
      <alignment horizontal="center" vertical="center"/>
    </xf>
    <xf numFmtId="183" fontId="31" fillId="11" borderId="15" xfId="9" applyNumberFormat="1" applyFont="1" applyFill="1" applyBorder="1" applyAlignment="1">
      <alignment horizontal="center" vertical="center"/>
    </xf>
    <xf numFmtId="0" fontId="32" fillId="0" borderId="0" xfId="0" applyNumberFormat="1" applyFont="1" applyFill="1" applyBorder="1" applyAlignment="1" applyProtection="1"/>
    <xf numFmtId="0" fontId="33" fillId="0" borderId="16" xfId="0" applyFont="1" applyFill="1" applyBorder="1" applyAlignment="1"/>
    <xf numFmtId="0" fontId="33" fillId="0" borderId="0" xfId="0" applyFont="1" applyFill="1" applyBorder="1" applyAlignment="1"/>
    <xf numFmtId="0" fontId="33" fillId="0" borderId="17" xfId="0" applyFont="1" applyFill="1" applyBorder="1" applyAlignment="1"/>
    <xf numFmtId="183" fontId="31" fillId="0" borderId="18" xfId="19" applyNumberFormat="1" applyFont="1" applyBorder="1" applyAlignment="1">
      <alignment horizontal="center" vertical="center" wrapText="1"/>
    </xf>
    <xf numFmtId="0" fontId="31" fillId="9" borderId="19" xfId="0" applyFont="1" applyFill="1" applyBorder="1" applyAlignment="1">
      <alignment horizontal="center" vertical="center"/>
    </xf>
    <xf numFmtId="0" fontId="31" fillId="9" borderId="20" xfId="0" applyFont="1" applyFill="1" applyBorder="1" applyAlignment="1">
      <alignment horizontal="center" vertical="center"/>
    </xf>
    <xf numFmtId="0" fontId="31" fillId="9" borderId="0" xfId="0" applyFont="1" applyFill="1" applyBorder="1" applyAlignment="1">
      <alignment horizontal="center" vertical="center"/>
    </xf>
    <xf numFmtId="0" fontId="31" fillId="9" borderId="17" xfId="0" applyFont="1" applyFill="1" applyBorder="1" applyAlignment="1">
      <alignment horizontal="center" vertical="center"/>
    </xf>
    <xf numFmtId="0" fontId="33" fillId="9" borderId="16" xfId="0" applyFont="1" applyFill="1" applyBorder="1" applyAlignment="1">
      <alignment horizontal="left" vertical="top"/>
    </xf>
    <xf numFmtId="0" fontId="33" fillId="9" borderId="0" xfId="0" applyFont="1" applyFill="1" applyBorder="1" applyAlignment="1">
      <alignment horizontal="left" vertical="top"/>
    </xf>
    <xf numFmtId="10" fontId="33" fillId="11" borderId="0" xfId="4" applyNumberFormat="1" applyFont="1" applyFill="1" applyBorder="1" applyAlignment="1">
      <alignment horizontal="center" vertical="center"/>
    </xf>
    <xf numFmtId="183" fontId="33" fillId="11" borderId="17" xfId="9" applyNumberFormat="1" applyFont="1" applyFill="1" applyBorder="1" applyAlignment="1">
      <alignment horizontal="center" vertical="center"/>
    </xf>
    <xf numFmtId="0" fontId="33" fillId="12" borderId="16" xfId="0" applyFont="1" applyFill="1" applyBorder="1" applyAlignment="1">
      <alignment horizontal="left" vertical="top"/>
    </xf>
    <xf numFmtId="0" fontId="33" fillId="12" borderId="0" xfId="0" applyFont="1" applyFill="1" applyBorder="1" applyAlignment="1">
      <alignment horizontal="left" vertical="top"/>
    </xf>
    <xf numFmtId="0" fontId="31" fillId="10" borderId="21" xfId="19" applyFont="1" applyFill="1" applyBorder="1" applyAlignment="1">
      <alignment horizontal="center" vertical="center" wrapText="1"/>
    </xf>
    <xf numFmtId="183" fontId="31" fillId="11" borderId="22" xfId="19" applyNumberFormat="1" applyFont="1" applyFill="1" applyBorder="1" applyAlignment="1">
      <alignment horizontal="center" vertical="center" wrapText="1"/>
    </xf>
    <xf numFmtId="0" fontId="31" fillId="9" borderId="21" xfId="19" applyFont="1" applyFill="1" applyBorder="1" applyAlignment="1">
      <alignment horizontal="center" vertical="center" wrapText="1"/>
    </xf>
    <xf numFmtId="0" fontId="31" fillId="9" borderId="14" xfId="19" applyFont="1" applyFill="1" applyBorder="1" applyAlignment="1">
      <alignment horizontal="center" vertical="center" wrapText="1"/>
    </xf>
    <xf numFmtId="0" fontId="31" fillId="9" borderId="15" xfId="19" applyFont="1" applyFill="1" applyBorder="1" applyAlignment="1">
      <alignment horizontal="center" vertical="center" wrapText="1"/>
    </xf>
    <xf numFmtId="0" fontId="31" fillId="12" borderId="19" xfId="0" applyFont="1" applyFill="1" applyBorder="1" applyAlignment="1">
      <alignment horizontal="center" vertical="center"/>
    </xf>
    <xf numFmtId="0" fontId="31" fillId="12" borderId="20" xfId="0" applyFont="1" applyFill="1" applyBorder="1" applyAlignment="1">
      <alignment horizontal="center" vertical="center"/>
    </xf>
    <xf numFmtId="0" fontId="31" fillId="12" borderId="0" xfId="0" applyFont="1" applyFill="1" applyBorder="1" applyAlignment="1">
      <alignment horizontal="center" vertical="center"/>
    </xf>
    <xf numFmtId="0" fontId="31" fillId="12" borderId="17" xfId="0" applyFont="1" applyFill="1" applyBorder="1" applyAlignment="1">
      <alignment horizontal="center" vertical="center"/>
    </xf>
    <xf numFmtId="183" fontId="33" fillId="11" borderId="17" xfId="9" applyNumberFormat="1" applyFont="1" applyFill="1" applyBorder="1"/>
    <xf numFmtId="0" fontId="31" fillId="12" borderId="16" xfId="0" applyFont="1" applyFill="1" applyBorder="1" applyAlignment="1">
      <alignment horizontal="center"/>
    </xf>
    <xf numFmtId="0" fontId="31" fillId="12" borderId="0" xfId="0" applyFont="1" applyFill="1" applyBorder="1" applyAlignment="1">
      <alignment horizontal="center"/>
    </xf>
    <xf numFmtId="10" fontId="31" fillId="11" borderId="0" xfId="0" applyNumberFormat="1" applyFont="1" applyFill="1" applyBorder="1" applyAlignment="1">
      <alignment horizontal="center" vertical="center"/>
    </xf>
    <xf numFmtId="183" fontId="31" fillId="11" borderId="17" xfId="0" applyNumberFormat="1" applyFont="1" applyFill="1" applyBorder="1" applyAlignment="1">
      <alignment horizontal="center" vertical="center"/>
    </xf>
    <xf numFmtId="0" fontId="31" fillId="8" borderId="21" xfId="19" applyFont="1" applyFill="1" applyBorder="1" applyAlignment="1">
      <alignment horizontal="center" vertical="center" wrapText="1"/>
    </xf>
    <xf numFmtId="0" fontId="31" fillId="8" borderId="14" xfId="19" applyFont="1" applyFill="1" applyBorder="1" applyAlignment="1">
      <alignment horizontal="center" vertical="center" wrapText="1"/>
    </xf>
    <xf numFmtId="0" fontId="31" fillId="8" borderId="15" xfId="19" applyFont="1" applyFill="1" applyBorder="1" applyAlignment="1">
      <alignment horizontal="center" vertical="center" wrapText="1"/>
    </xf>
    <xf numFmtId="183" fontId="31" fillId="8" borderId="22" xfId="19" applyNumberFormat="1" applyFont="1" applyFill="1" applyBorder="1" applyAlignment="1">
      <alignment horizontal="center" vertical="center" wrapText="1"/>
    </xf>
    <xf numFmtId="0" fontId="34" fillId="0" borderId="0" xfId="0" applyFont="1" applyFill="1" applyAlignment="1"/>
    <xf numFmtId="0" fontId="2" fillId="0" borderId="0" xfId="0" applyFont="1" applyFill="1" applyAlignment="1">
      <alignment vertical="center" wrapText="1"/>
    </xf>
    <xf numFmtId="0" fontId="35" fillId="13" borderId="23" xfId="0" applyNumberFormat="1" applyFont="1" applyFill="1" applyBorder="1" applyAlignment="1" applyProtection="1">
      <alignment horizontal="center" vertical="center"/>
    </xf>
    <xf numFmtId="0" fontId="35" fillId="13" borderId="24" xfId="0" applyNumberFormat="1" applyFont="1" applyFill="1" applyBorder="1" applyAlignment="1" applyProtection="1">
      <alignment horizontal="center" vertical="center"/>
    </xf>
    <xf numFmtId="0" fontId="36" fillId="14" borderId="25" xfId="0" applyNumberFormat="1" applyFont="1" applyFill="1" applyBorder="1" applyAlignment="1" applyProtection="1">
      <alignment horizontal="left" vertical="center"/>
    </xf>
    <xf numFmtId="10" fontId="36" fillId="15" borderId="0" xfId="0" applyNumberFormat="1" applyFont="1" applyFill="1" applyBorder="1" applyAlignment="1" applyProtection="1">
      <alignment horizontal="center" vertical="center"/>
    </xf>
    <xf numFmtId="0" fontId="36" fillId="16" borderId="26" xfId="0" applyNumberFormat="1" applyFont="1" applyFill="1" applyBorder="1" applyAlignment="1" applyProtection="1">
      <alignment horizontal="left" vertical="center"/>
    </xf>
    <xf numFmtId="184" fontId="36" fillId="15" borderId="0" xfId="0" applyNumberFormat="1" applyFont="1" applyFill="1" applyBorder="1" applyAlignment="1" applyProtection="1">
      <alignment horizontal="center"/>
    </xf>
    <xf numFmtId="185" fontId="36" fillId="15" borderId="0" xfId="0" applyNumberFormat="1" applyFont="1" applyFill="1" applyBorder="1" applyAlignment="1" applyProtection="1">
      <alignment horizontal="center" vertical="center"/>
    </xf>
    <xf numFmtId="0" fontId="37" fillId="0" borderId="0" xfId="0" applyNumberFormat="1" applyFont="1" applyFill="1" applyBorder="1" applyAlignment="1" applyProtection="1"/>
    <xf numFmtId="0" fontId="24" fillId="0" borderId="0" xfId="0" applyFont="1"/>
    <xf numFmtId="0" fontId="38" fillId="17" borderId="27" xfId="0" applyFont="1" applyFill="1" applyBorder="1" applyAlignment="1">
      <alignment horizontal="center"/>
    </xf>
    <xf numFmtId="0" fontId="22" fillId="18" borderId="28" xfId="0" applyFont="1" applyFill="1" applyBorder="1" applyAlignment="1">
      <alignment horizontal="left" wrapText="1"/>
    </xf>
    <xf numFmtId="0" fontId="22" fillId="19" borderId="0" xfId="0" applyFont="1" applyFill="1" applyBorder="1" applyAlignment="1">
      <alignment horizontal="left" wrapText="1"/>
    </xf>
    <xf numFmtId="49" fontId="24" fillId="19" borderId="0" xfId="0" applyNumberFormat="1" applyFont="1" applyFill="1" applyBorder="1" applyAlignment="1">
      <alignment horizontal="left"/>
    </xf>
    <xf numFmtId="0" fontId="24" fillId="19" borderId="0" xfId="0" applyFont="1" applyFill="1" applyBorder="1" applyAlignment="1">
      <alignment horizontal="left"/>
    </xf>
    <xf numFmtId="0" fontId="22" fillId="0" borderId="0" xfId="0" applyFont="1" applyBorder="1" applyAlignment="1">
      <alignment horizontal="left" wrapText="1"/>
    </xf>
    <xf numFmtId="0" fontId="24" fillId="0" borderId="0" xfId="0" applyFont="1" applyBorder="1" applyAlignment="1">
      <alignment horizontal="left"/>
    </xf>
    <xf numFmtId="0" fontId="22" fillId="17" borderId="29" xfId="0" applyFont="1" applyFill="1" applyBorder="1" applyAlignment="1">
      <alignment horizontal="center"/>
    </xf>
    <xf numFmtId="0" fontId="24" fillId="18" borderId="30" xfId="0" applyFont="1" applyFill="1" applyBorder="1" applyAlignment="1">
      <alignment horizontal="center"/>
    </xf>
    <xf numFmtId="0" fontId="24" fillId="18" borderId="25" xfId="0" applyFont="1" applyFill="1" applyBorder="1"/>
    <xf numFmtId="0" fontId="24" fillId="20" borderId="25" xfId="0" applyFont="1" applyFill="1" applyBorder="1" applyAlignment="1">
      <alignment horizontal="center"/>
    </xf>
    <xf numFmtId="0" fontId="24" fillId="21" borderId="31" xfId="0" applyFont="1" applyFill="1" applyBorder="1" applyAlignment="1">
      <alignment horizontal="center"/>
    </xf>
    <xf numFmtId="0" fontId="24" fillId="21" borderId="32" xfId="0" applyFont="1" applyFill="1" applyBorder="1"/>
    <xf numFmtId="0" fontId="24" fillId="20" borderId="32" xfId="0" applyFont="1" applyFill="1" applyBorder="1" applyAlignment="1">
      <alignment horizontal="center"/>
    </xf>
    <xf numFmtId="0" fontId="24" fillId="18" borderId="31" xfId="0" applyFont="1" applyFill="1" applyBorder="1" applyAlignment="1">
      <alignment horizontal="center"/>
    </xf>
    <xf numFmtId="0" fontId="24" fillId="18" borderId="32" xfId="0" applyFont="1" applyFill="1" applyBorder="1"/>
    <xf numFmtId="0" fontId="22" fillId="17" borderId="27" xfId="0" applyFont="1" applyFill="1" applyBorder="1" applyAlignment="1">
      <alignment horizontal="center"/>
    </xf>
    <xf numFmtId="0" fontId="22" fillId="17" borderId="33" xfId="0" applyFont="1" applyFill="1" applyBorder="1" applyAlignment="1">
      <alignment horizontal="center" wrapText="1"/>
    </xf>
    <xf numFmtId="0" fontId="22" fillId="17" borderId="23" xfId="0" applyFont="1" applyFill="1" applyBorder="1" applyAlignment="1">
      <alignment horizontal="center"/>
    </xf>
    <xf numFmtId="0" fontId="24" fillId="18" borderId="32" xfId="0" applyFont="1" applyFill="1" applyBorder="1" applyAlignment="1">
      <alignment horizontal="center"/>
    </xf>
    <xf numFmtId="0" fontId="24" fillId="20" borderId="34" xfId="0" applyFont="1" applyFill="1" applyBorder="1" applyAlignment="1">
      <alignment horizontal="center"/>
    </xf>
    <xf numFmtId="0" fontId="24" fillId="21" borderId="32" xfId="0" applyFont="1" applyFill="1" applyBorder="1" applyAlignment="1">
      <alignment horizontal="center"/>
    </xf>
    <xf numFmtId="186" fontId="24" fillId="20" borderId="34" xfId="0" applyNumberFormat="1" applyFont="1" applyFill="1" applyBorder="1" applyAlignment="1">
      <alignment horizontal="center"/>
    </xf>
    <xf numFmtId="0" fontId="22" fillId="0" borderId="0" xfId="0" applyFont="1" applyBorder="1" applyAlignment="1">
      <alignment horizontal="center"/>
    </xf>
    <xf numFmtId="0" fontId="24" fillId="0" borderId="0" xfId="0" applyFont="1" applyAlignment="1">
      <alignment horizontal="center"/>
    </xf>
    <xf numFmtId="0" fontId="24" fillId="20" borderId="0" xfId="0" applyFont="1" applyFill="1" applyAlignment="1">
      <alignment horizontal="center"/>
    </xf>
    <xf numFmtId="186" fontId="24" fillId="20" borderId="0" xfId="0" applyNumberFormat="1" applyFont="1" applyFill="1" applyAlignment="1">
      <alignment horizontal="center"/>
    </xf>
    <xf numFmtId="49" fontId="24" fillId="20" borderId="0" xfId="0" applyNumberFormat="1" applyFont="1" applyFill="1" applyAlignment="1">
      <alignment horizontal="center"/>
    </xf>
    <xf numFmtId="10" fontId="24" fillId="0" borderId="0" xfId="0" applyNumberFormat="1" applyFont="1"/>
    <xf numFmtId="186" fontId="24" fillId="0" borderId="0" xfId="0" applyNumberFormat="1" applyFont="1" applyAlignment="1">
      <alignment horizontal="center"/>
    </xf>
    <xf numFmtId="0" fontId="22" fillId="17" borderId="0" xfId="0" applyFont="1" applyFill="1" applyBorder="1" applyAlignment="1">
      <alignment horizontal="center"/>
    </xf>
    <xf numFmtId="10" fontId="24" fillId="0" borderId="0" xfId="4" applyNumberFormat="1" applyFont="1" applyBorder="1" applyAlignment="1" applyProtection="1">
      <alignment horizontal="center"/>
    </xf>
    <xf numFmtId="0" fontId="24" fillId="0" borderId="0" xfId="0" applyFont="1" applyAlignment="1"/>
    <xf numFmtId="0" fontId="22" fillId="17" borderId="0" xfId="0" applyFont="1" applyFill="1" applyBorder="1" applyAlignment="1">
      <alignment horizontal="center" vertical="center"/>
    </xf>
    <xf numFmtId="0" fontId="22" fillId="18" borderId="25" xfId="0" applyFont="1" applyFill="1" applyBorder="1" applyAlignment="1">
      <alignment horizontal="center" vertical="center"/>
    </xf>
    <xf numFmtId="184" fontId="24" fillId="20" borderId="26" xfId="0" applyNumberFormat="1" applyFont="1" applyFill="1" applyBorder="1" applyAlignment="1">
      <alignment horizontal="center" vertical="center"/>
    </xf>
    <xf numFmtId="0" fontId="22" fillId="21" borderId="26" xfId="0" applyFont="1" applyFill="1" applyBorder="1" applyAlignment="1">
      <alignment horizontal="center" vertical="center"/>
    </xf>
    <xf numFmtId="184" fontId="22" fillId="20" borderId="26" xfId="0" applyNumberFormat="1" applyFont="1" applyFill="1" applyBorder="1" applyAlignment="1">
      <alignment horizontal="center" vertical="center"/>
    </xf>
    <xf numFmtId="10" fontId="24" fillId="0" borderId="0" xfId="0" applyNumberFormat="1" applyFont="1" applyAlignment="1">
      <alignment horizontal="center"/>
    </xf>
    <xf numFmtId="10" fontId="24" fillId="20" borderId="0" xfId="4" applyNumberFormat="1" applyFont="1" applyFill="1" applyBorder="1" applyAlignment="1" applyProtection="1">
      <alignment horizontal="center"/>
    </xf>
    <xf numFmtId="0" fontId="24" fillId="0" borderId="0" xfId="0" applyFont="1" applyAlignment="1">
      <alignment horizontal="center" vertical="center"/>
    </xf>
    <xf numFmtId="0" fontId="24" fillId="0" borderId="0" xfId="0" applyFont="1" applyAlignment="1">
      <alignment vertical="center"/>
    </xf>
    <xf numFmtId="186" fontId="24" fillId="20" borderId="0" xfId="0" applyNumberFormat="1" applyFont="1" applyFill="1" applyAlignment="1">
      <alignment horizontal="center" vertical="center"/>
    </xf>
    <xf numFmtId="186" fontId="0" fillId="20" borderId="0" xfId="0" applyNumberFormat="1" applyFill="1" applyAlignment="1">
      <alignment horizontal="center"/>
    </xf>
    <xf numFmtId="186" fontId="24" fillId="0" borderId="0" xfId="0" applyNumberFormat="1" applyFont="1" applyAlignment="1">
      <alignment horizontal="left" vertical="center"/>
    </xf>
    <xf numFmtId="10" fontId="24" fillId="0" borderId="0" xfId="4" applyNumberFormat="1" applyFont="1" applyBorder="1" applyAlignment="1" applyProtection="1">
      <alignment horizontal="center" vertical="center"/>
    </xf>
    <xf numFmtId="186" fontId="24" fillId="0" borderId="0" xfId="0" applyNumberFormat="1" applyFont="1" applyAlignment="1">
      <alignment horizontal="center" vertical="center"/>
    </xf>
    <xf numFmtId="0" fontId="24" fillId="0" borderId="0" xfId="0" applyFont="1" applyAlignment="1">
      <alignment wrapText="1"/>
    </xf>
    <xf numFmtId="10" fontId="24" fillId="20" borderId="0" xfId="4" applyNumberFormat="1" applyFont="1" applyFill="1" applyBorder="1" applyAlignment="1" applyProtection="1">
      <alignment horizontal="center" vertical="center"/>
    </xf>
    <xf numFmtId="10" fontId="24" fillId="11" borderId="0" xfId="4" applyNumberFormat="1" applyFont="1" applyFill="1" applyBorder="1" applyAlignment="1" applyProtection="1">
      <alignment horizontal="center" vertical="center"/>
    </xf>
    <xf numFmtId="186" fontId="24" fillId="11" borderId="0" xfId="0" applyNumberFormat="1" applyFont="1" applyFill="1" applyAlignment="1">
      <alignment horizontal="center" vertical="center"/>
    </xf>
    <xf numFmtId="0" fontId="22" fillId="17" borderId="0" xfId="0" applyFont="1" applyFill="1" applyBorder="1" applyAlignment="1">
      <alignment horizontal="center" wrapText="1"/>
    </xf>
    <xf numFmtId="187" fontId="24" fillId="20" borderId="0" xfId="0" applyNumberFormat="1" applyFont="1" applyFill="1" applyAlignment="1">
      <alignment horizontal="center"/>
    </xf>
    <xf numFmtId="0" fontId="24" fillId="0" borderId="0" xfId="0" applyFont="1" applyAlignment="1">
      <alignment vertical="center" wrapText="1"/>
    </xf>
    <xf numFmtId="0" fontId="39" fillId="0" borderId="0" xfId="0" applyFont="1" applyAlignment="1">
      <alignment horizontal="center" vertical="center" wrapText="1"/>
    </xf>
    <xf numFmtId="186" fontId="39" fillId="0" borderId="0" xfId="0" applyNumberFormat="1" applyFont="1" applyAlignment="1">
      <alignment vertical="center"/>
    </xf>
    <xf numFmtId="186" fontId="39" fillId="0" borderId="0" xfId="0" applyNumberFormat="1" applyFont="1" applyAlignment="1">
      <alignment horizontal="center"/>
    </xf>
    <xf numFmtId="186" fontId="40" fillId="20" borderId="0" xfId="0" applyNumberFormat="1" applyFont="1" applyFill="1" applyAlignment="1">
      <alignment horizontal="center"/>
    </xf>
    <xf numFmtId="0" fontId="22" fillId="17" borderId="23" xfId="0" applyFont="1" applyFill="1" applyBorder="1" applyAlignment="1">
      <alignment horizontal="center" vertical="center"/>
    </xf>
    <xf numFmtId="0" fontId="24" fillId="18" borderId="25" xfId="0" applyFont="1" applyFill="1" applyBorder="1" applyAlignment="1">
      <alignment horizontal="left" vertical="center"/>
    </xf>
    <xf numFmtId="0" fontId="24" fillId="21" borderId="26" xfId="0" applyFont="1" applyFill="1" applyBorder="1" applyAlignment="1">
      <alignment horizontal="left" vertical="center"/>
    </xf>
    <xf numFmtId="184" fontId="24" fillId="20" borderId="0" xfId="0" applyNumberFormat="1" applyFont="1" applyFill="1" applyAlignment="1">
      <alignment horizontal="center" vertical="center"/>
    </xf>
    <xf numFmtId="185" fontId="24" fillId="20" borderId="0" xfId="0" applyNumberFormat="1" applyFont="1" applyFill="1" applyAlignment="1">
      <alignment horizontal="center" vertical="center"/>
    </xf>
    <xf numFmtId="0" fontId="24" fillId="0" borderId="0" xfId="0" applyFont="1" applyAlignment="1">
      <alignment horizontal="right"/>
    </xf>
    <xf numFmtId="0" fontId="24" fillId="17" borderId="0" xfId="0" applyFont="1" applyFill="1"/>
    <xf numFmtId="0" fontId="22" fillId="17" borderId="0" xfId="0" applyFont="1" applyFill="1" applyAlignment="1">
      <alignment horizontal="center" vertical="center"/>
    </xf>
    <xf numFmtId="186" fontId="22" fillId="17" borderId="0" xfId="0" applyNumberFormat="1" applyFont="1" applyFill="1" applyAlignment="1">
      <alignment horizontal="center"/>
    </xf>
    <xf numFmtId="0" fontId="24" fillId="20" borderId="0" xfId="0" applyFont="1" applyFill="1" applyAlignment="1">
      <alignment horizontal="center" vertical="center" wrapText="1"/>
    </xf>
    <xf numFmtId="186" fontId="24" fillId="11" borderId="0" xfId="0" applyNumberFormat="1" applyFont="1" applyFill="1" applyAlignment="1">
      <alignment horizontal="center"/>
    </xf>
    <xf numFmtId="184" fontId="24" fillId="20" borderId="0" xfId="0" applyNumberFormat="1" applyFont="1" applyFill="1" applyAlignment="1">
      <alignment horizontal="center"/>
    </xf>
    <xf numFmtId="0" fontId="41" fillId="17" borderId="27" xfId="0" applyFont="1" applyFill="1" applyBorder="1" applyAlignment="1">
      <alignment horizontal="center"/>
    </xf>
    <xf numFmtId="0" fontId="23" fillId="18" borderId="28" xfId="0" applyFont="1" applyFill="1" applyBorder="1" applyAlignment="1">
      <alignment horizontal="left" wrapText="1"/>
    </xf>
    <xf numFmtId="0" fontId="23" fillId="19" borderId="0" xfId="0" applyFont="1" applyFill="1" applyBorder="1" applyAlignment="1">
      <alignment horizontal="left" wrapText="1"/>
    </xf>
    <xf numFmtId="49" fontId="0" fillId="19" borderId="0" xfId="0" applyNumberFormat="1" applyFont="1" applyFill="1" applyBorder="1" applyAlignment="1">
      <alignment horizontal="left"/>
    </xf>
    <xf numFmtId="0" fontId="0" fillId="19" borderId="0" xfId="0" applyFont="1" applyFill="1" applyBorder="1" applyAlignment="1">
      <alignment horizontal="left"/>
    </xf>
    <xf numFmtId="0" fontId="23" fillId="0" borderId="0" xfId="0" applyFont="1" applyBorder="1" applyAlignment="1">
      <alignment horizontal="left" wrapText="1"/>
    </xf>
    <xf numFmtId="0" fontId="0" fillId="0" borderId="0" xfId="0" applyFont="1" applyBorder="1" applyAlignment="1">
      <alignment horizontal="left"/>
    </xf>
    <xf numFmtId="0" fontId="42" fillId="17" borderId="29" xfId="0" applyFont="1" applyFill="1" applyBorder="1" applyAlignment="1">
      <alignment horizontal="center"/>
    </xf>
    <xf numFmtId="0" fontId="0" fillId="18" borderId="30" xfId="0" applyFont="1" applyFill="1" applyBorder="1" applyAlignment="1">
      <alignment horizontal="center"/>
    </xf>
    <xf numFmtId="0" fontId="0" fillId="18" borderId="25" xfId="0" applyFont="1" applyFill="1" applyBorder="1"/>
    <xf numFmtId="0" fontId="0" fillId="20" borderId="25" xfId="0" applyFont="1" applyFill="1" applyBorder="1" applyAlignment="1">
      <alignment horizontal="center"/>
    </xf>
    <xf numFmtId="0" fontId="0" fillId="21" borderId="31" xfId="0" applyFont="1" applyFill="1" applyBorder="1" applyAlignment="1">
      <alignment horizontal="center"/>
    </xf>
    <xf numFmtId="0" fontId="0" fillId="21" borderId="32" xfId="0" applyFont="1" applyFill="1" applyBorder="1"/>
    <xf numFmtId="0" fontId="0" fillId="20" borderId="32" xfId="0" applyFont="1" applyFill="1" applyBorder="1" applyAlignment="1">
      <alignment horizontal="center"/>
    </xf>
    <xf numFmtId="0" fontId="0" fillId="18" borderId="31" xfId="0" applyFont="1" applyFill="1" applyBorder="1" applyAlignment="1">
      <alignment horizontal="center"/>
    </xf>
    <xf numFmtId="0" fontId="0" fillId="18" borderId="32" xfId="0" applyFont="1" applyFill="1" applyBorder="1"/>
    <xf numFmtId="0" fontId="42" fillId="17" borderId="27" xfId="0" applyFont="1" applyFill="1" applyBorder="1" applyAlignment="1">
      <alignment horizontal="center"/>
    </xf>
    <xf numFmtId="0" fontId="42" fillId="17" borderId="33" xfId="0" applyFont="1" applyFill="1" applyBorder="1" applyAlignment="1">
      <alignment horizontal="center" wrapText="1"/>
    </xf>
    <xf numFmtId="0" fontId="42" fillId="17" borderId="23" xfId="0" applyFont="1" applyFill="1" applyBorder="1" applyAlignment="1">
      <alignment horizontal="center"/>
    </xf>
    <xf numFmtId="0" fontId="0" fillId="18" borderId="32" xfId="0" applyFont="1" applyFill="1" applyBorder="1" applyAlignment="1">
      <alignment horizontal="center"/>
    </xf>
    <xf numFmtId="0" fontId="0" fillId="20" borderId="34" xfId="0" applyFont="1" applyFill="1" applyBorder="1" applyAlignment="1">
      <alignment horizontal="center"/>
    </xf>
    <xf numFmtId="0" fontId="0" fillId="21" borderId="32" xfId="0" applyFont="1" applyFill="1" applyBorder="1" applyAlignment="1">
      <alignment horizontal="center"/>
    </xf>
    <xf numFmtId="186" fontId="0" fillId="20" borderId="34" xfId="0" applyNumberFormat="1" applyFont="1" applyFill="1" applyBorder="1" applyAlignment="1">
      <alignment horizontal="center"/>
    </xf>
    <xf numFmtId="0" fontId="23" fillId="0" borderId="0" xfId="0" applyFont="1" applyBorder="1" applyAlignment="1">
      <alignment horizontal="center"/>
    </xf>
    <xf numFmtId="0" fontId="0" fillId="0" borderId="0" xfId="0" applyFont="1" applyAlignment="1">
      <alignment horizontal="center"/>
    </xf>
    <xf numFmtId="0" fontId="0" fillId="20" borderId="0" xfId="0" applyFill="1" applyAlignment="1">
      <alignment horizontal="center"/>
    </xf>
    <xf numFmtId="0" fontId="0" fillId="20" borderId="0" xfId="0" applyFont="1" applyFill="1" applyAlignment="1">
      <alignment horizontal="center"/>
    </xf>
    <xf numFmtId="49" fontId="0" fillId="20" borderId="0" xfId="0" applyNumberFormat="1" applyFont="1" applyFill="1" applyAlignment="1">
      <alignment horizontal="center"/>
    </xf>
    <xf numFmtId="0" fontId="0" fillId="0" borderId="0" xfId="0" applyFont="1"/>
    <xf numFmtId="10" fontId="0" fillId="0" borderId="0" xfId="0" applyNumberFormat="1"/>
    <xf numFmtId="186" fontId="0" fillId="0" borderId="0" xfId="0" applyNumberFormat="1" applyAlignment="1">
      <alignment horizontal="center"/>
    </xf>
    <xf numFmtId="0" fontId="42" fillId="17"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42" fillId="17" borderId="0" xfId="0" applyFont="1" applyFill="1" applyBorder="1" applyAlignment="1">
      <alignment horizontal="center" vertical="center"/>
    </xf>
    <xf numFmtId="0" fontId="23" fillId="18" borderId="25" xfId="0" applyFont="1" applyFill="1" applyBorder="1" applyAlignment="1">
      <alignment horizontal="center" vertical="center"/>
    </xf>
    <xf numFmtId="184" fontId="0" fillId="20" borderId="26" xfId="0" applyNumberFormat="1" applyFont="1" applyFill="1" applyBorder="1" applyAlignment="1">
      <alignment horizontal="center" vertical="center"/>
    </xf>
    <xf numFmtId="0" fontId="23" fillId="21" borderId="26" xfId="0" applyFont="1" applyFill="1" applyBorder="1" applyAlignment="1">
      <alignment horizontal="center" vertical="center"/>
    </xf>
    <xf numFmtId="184" fontId="23" fillId="20" borderId="26" xfId="0" applyNumberFormat="1" applyFont="1" applyFill="1" applyBorder="1" applyAlignment="1">
      <alignment horizontal="center" vertical="center"/>
    </xf>
    <xf numFmtId="10" fontId="0" fillId="0" borderId="0" xfId="0" applyNumberFormat="1" applyAlignment="1">
      <alignment horizontal="center"/>
    </xf>
    <xf numFmtId="10" fontId="0" fillId="20" borderId="0" xfId="4" applyNumberFormat="1" applyFont="1" applyFill="1" applyBorder="1" applyAlignment="1" applyProtection="1">
      <alignment horizontal="center"/>
    </xf>
    <xf numFmtId="186" fontId="0" fillId="20"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6" fontId="0" fillId="20" borderId="0" xfId="0" applyNumberFormat="1" applyFill="1" applyAlignment="1">
      <alignment horizontal="center" vertical="center"/>
    </xf>
    <xf numFmtId="186"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0" borderId="0" xfId="4" applyNumberFormat="1" applyFont="1" applyFill="1" applyBorder="1" applyAlignment="1" applyProtection="1">
      <alignment horizontal="center" vertical="center"/>
    </xf>
    <xf numFmtId="10" fontId="0" fillId="11" borderId="0" xfId="4" applyNumberFormat="1" applyFont="1" applyFill="1" applyBorder="1" applyAlignment="1" applyProtection="1">
      <alignment horizontal="center" vertical="center"/>
    </xf>
    <xf numFmtId="186" fontId="0" fillId="11" borderId="0" xfId="0" applyNumberFormat="1" applyFill="1" applyAlignment="1">
      <alignment horizontal="center"/>
    </xf>
    <xf numFmtId="0" fontId="42" fillId="17" borderId="0" xfId="0" applyFont="1" applyFill="1" applyBorder="1" applyAlignment="1">
      <alignment horizontal="center" wrapText="1"/>
    </xf>
    <xf numFmtId="187" fontId="0" fillId="20" borderId="0" xfId="0" applyNumberFormat="1" applyFill="1" applyAlignment="1">
      <alignment horizontal="center"/>
    </xf>
    <xf numFmtId="0" fontId="0" fillId="0" borderId="0" xfId="0" applyAlignment="1">
      <alignment vertical="center" wrapText="1"/>
    </xf>
    <xf numFmtId="0" fontId="39" fillId="0" borderId="0" xfId="0" applyFont="1" applyAlignment="1">
      <alignment horizontal="center"/>
    </xf>
    <xf numFmtId="186" fontId="43" fillId="20" borderId="0" xfId="0" applyNumberFormat="1" applyFont="1" applyFill="1" applyAlignment="1">
      <alignment horizontal="center"/>
    </xf>
    <xf numFmtId="186" fontId="0" fillId="0" borderId="0" xfId="0" applyNumberFormat="1" applyAlignment="1">
      <alignment horizontal="center" vertical="center"/>
    </xf>
    <xf numFmtId="186" fontId="24" fillId="20" borderId="0" xfId="0" applyNumberFormat="1" applyFont="1" applyFill="1" applyAlignment="1">
      <alignment horizontal="center"/>
    </xf>
    <xf numFmtId="0" fontId="42" fillId="17" borderId="23" xfId="0" applyFont="1" applyFill="1" applyBorder="1" applyAlignment="1">
      <alignment horizontal="center" vertical="center"/>
    </xf>
    <xf numFmtId="0" fontId="0" fillId="18" borderId="25" xfId="0" applyFont="1" applyFill="1" applyBorder="1" applyAlignment="1">
      <alignment horizontal="left" vertical="center"/>
    </xf>
    <xf numFmtId="0" fontId="0" fillId="21" borderId="26" xfId="0" applyFont="1" applyFill="1" applyBorder="1" applyAlignment="1">
      <alignment horizontal="left" vertical="center"/>
    </xf>
    <xf numFmtId="184" fontId="0" fillId="20" borderId="0" xfId="0" applyNumberFormat="1" applyFill="1" applyAlignment="1">
      <alignment horizontal="center"/>
    </xf>
    <xf numFmtId="185" fontId="0" fillId="20"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4" fillId="17" borderId="0" xfId="0" applyFont="1" applyFill="1"/>
    <xf numFmtId="0" fontId="42" fillId="17" borderId="0" xfId="0" applyFont="1" applyFill="1" applyAlignment="1">
      <alignment horizontal="center" vertical="center"/>
    </xf>
    <xf numFmtId="186" fontId="42" fillId="17" borderId="0" xfId="0" applyNumberFormat="1" applyFont="1" applyFill="1" applyAlignment="1">
      <alignment horizontal="center"/>
    </xf>
    <xf numFmtId="181" fontId="0" fillId="20" borderId="0" xfId="0" applyNumberFormat="1" applyFill="1" applyAlignment="1">
      <alignment horizontal="center" vertical="center"/>
    </xf>
    <xf numFmtId="181" fontId="0" fillId="0" borderId="0" xfId="0" applyNumberFormat="1" applyAlignment="1">
      <alignment horizontal="center" vertical="center"/>
    </xf>
    <xf numFmtId="181" fontId="0" fillId="11" borderId="0" xfId="0" applyNumberFormat="1" applyFill="1" applyAlignment="1">
      <alignment horizontal="center" vertical="center"/>
    </xf>
    <xf numFmtId="186" fontId="39" fillId="0" borderId="0" xfId="0" applyNumberFormat="1" applyFont="1" applyAlignment="1">
      <alignment vertical="center" wrapText="1"/>
    </xf>
    <xf numFmtId="186" fontId="39" fillId="0" borderId="0" xfId="0" applyNumberFormat="1" applyFont="1" applyAlignment="1">
      <alignment horizontal="center" wrapText="1"/>
    </xf>
    <xf numFmtId="0" fontId="24" fillId="0" borderId="0" xfId="0" applyFont="1"/>
    <xf numFmtId="184" fontId="0" fillId="20" borderId="0" xfId="0" applyNumberFormat="1" applyFill="1"/>
    <xf numFmtId="186" fontId="0" fillId="11" borderId="0" xfId="0" applyNumberFormat="1" applyFill="1" applyAlignment="1">
      <alignment horizontal="center" vertical="center"/>
    </xf>
    <xf numFmtId="180" fontId="24" fillId="20" borderId="0" xfId="0" applyNumberFormat="1" applyFont="1" applyFill="1" applyAlignment="1">
      <alignment horizontal="center"/>
    </xf>
    <xf numFmtId="0" fontId="23" fillId="0" borderId="35" xfId="0" applyFont="1" applyBorder="1" applyAlignment="1">
      <alignment horizontal="center"/>
    </xf>
    <xf numFmtId="177" fontId="0" fillId="20" borderId="0" xfId="9" applyFont="1" applyFill="1" applyBorder="1" applyAlignment="1" applyProtection="1">
      <alignment horizontal="center"/>
    </xf>
    <xf numFmtId="188" fontId="0" fillId="20" borderId="0" xfId="0" applyNumberFormat="1" applyFill="1" applyAlignment="1">
      <alignment horizontal="center"/>
    </xf>
    <xf numFmtId="9" fontId="0" fillId="20" borderId="0" xfId="0" applyNumberFormat="1" applyFill="1" applyAlignment="1">
      <alignment horizontal="center"/>
    </xf>
    <xf numFmtId="0" fontId="0" fillId="0" borderId="0" xfId="0" applyFont="1" applyAlignment="1"/>
    <xf numFmtId="10" fontId="0" fillId="20" borderId="0" xfId="4" applyNumberFormat="1" applyFont="1" applyFill="1" applyBorder="1" applyAlignment="1" applyProtection="1"/>
    <xf numFmtId="10" fontId="0" fillId="0" borderId="0" xfId="4" applyNumberFormat="1" applyFont="1" applyBorder="1" applyAlignment="1" applyProtection="1"/>
    <xf numFmtId="0" fontId="23" fillId="0" borderId="0" xfId="0" applyFont="1" applyBorder="1" applyAlignment="1">
      <alignment horizontal="center" vertical="center"/>
    </xf>
    <xf numFmtId="0" fontId="23"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6" fontId="0" fillId="0" borderId="0" xfId="0" applyNumberFormat="1" applyFont="1" applyAlignment="1">
      <alignment horizontal="center" vertical="center" wrapText="1"/>
    </xf>
    <xf numFmtId="186" fontId="44" fillId="17"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25">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alignment vertical="center" wrapText="1"/>
    </dxf>
    <dxf>
      <alignment wrapText="1"/>
    </dxf>
    <dxf>
      <alignment horizontal="center" vertical="center"/>
    </dxf>
    <dxf>
      <alignment wrapText="1"/>
    </dxf>
    <dxf>
      <alignment wrapText="1"/>
    </dxf>
    <dxf>
      <numFmt numFmtId="181"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38" name="Módulo153_39" displayName="Módulo153_39" ref="A24:D31" totalsRowCount="1">
  <autoFilter ref="A24:D30"/>
  <tableColumns count="4">
    <tableColumn id="1" name="1" totalsRowLabel="Total" dataDxfId="96"/>
    <tableColumn id="2" name="Composição da Remuneração" dataDxfId="97"/>
    <tableColumn id="3" name="Comentário" dataDxfId="98"/>
    <tableColumn id="4" name="Valor" totalsRowFunction="custom">
      <totalsRowFormula>TRUNC(SUM(D25:D30),2)</totalsRowFormula>
       dataDxfId="99"
    </tableColumn>
  </tableColumns>
  <tableStyleInfo showFirstColumn="0" showLastColumn="0" showRowStripes="1" showColumnStripes="0"/>
</table>
</file>

<file path=xl/tables/table26.xml><?xml version="1.0" encoding="utf-8"?>
<table xmlns="http://schemas.openxmlformats.org/spreadsheetml/2006/main" id="39" name="Submódulo2.356_40" displayName="Submódulo2.356_40" ref="A58:D65" totalsRowCount="1">
  <autoFilter ref="A58:D64"/>
  <tableColumns count="4">
    <tableColumn id="1" name="2.3" totalsRowLabel="Total" dataDxfId="100"/>
    <tableColumn id="2" name="Benefícios Mensais e Diários" dataDxfId="101"/>
    <tableColumn id="3" name="Comentário" dataDxfId="102"/>
    <tableColumn id="4" name="Valor" totalsRowFunction="custom">
      <totalsRowFormula>TRUNC((SUM(D59:D64)),2)</totalsRowFormula>
       dataDxfId="103"
    </tableColumn>
  </tableColumns>
  <tableStyleInfo showFirstColumn="0" showLastColumn="0" showRowStripes="1" showColumnStripes="0"/>
</table>
</file>

<file path=xl/tables/table27.xml><?xml version="1.0" encoding="utf-8"?>
<table xmlns="http://schemas.openxmlformats.org/spreadsheetml/2006/main" id="40" name="Submódulo4.159_41" displayName="Submódulo4.159_41" ref="A91:D98" totalsRowCount="1">
  <autoFilter ref="A91:D97"/>
  <tableColumns count="4">
    <tableColumn id="1" name="4.1" totalsRowLabel="Total" dataDxfId="104"/>
    <tableColumn id="2" name="Substituto nas Ausências Legais" dataDxfId="105"/>
    <tableColumn id="3" name="Percentual" totalsRowFunction="custom">
      <totalsRowFormula>SUM(C92:C97)</totalsRowFormula>
       dataDxfId="106"
    </tableColumn>
    <tableColumn id="4" name="Valor" totalsRowFunction="custom">
      <totalsRowFormula>TRUNC((SUM(D92:D97)),2)</totalsRowFormula>
       dataDxfId="107"
    </tableColumn>
  </tableColumns>
  <tableStyleInfo showFirstColumn="0" showLastColumn="0" showRowStripes="1" showColumnStripes="0"/>
</table>
</file>

<file path=xl/tables/table28.xml><?xml version="1.0" encoding="utf-8"?>
<table xmlns="http://schemas.openxmlformats.org/spreadsheetml/2006/main" id="41" name="Submódulo4.260_42" displayName="Submódulo4.260_42" ref="A101:D103" totalsRowCount="1">
  <autoFilter ref="A101:D102"/>
  <tableColumns count="4">
    <tableColumn id="1" name="4.2" totalsRowLabel="Total" dataDxfId="108"/>
    <tableColumn id="2" name="Substituto na Intrajornada " dataDxfId="109"/>
    <tableColumn id="3" name="Comentário" dataDxfId="110"/>
    <tableColumn id="4" name="Valor" totalsRowFunction="custom">
      <totalsRowFormula>D102</totalsRowFormula>
       dataDxfId="111"
    </tableColumn>
  </tableColumns>
  <tableStyleInfo showFirstColumn="0" showLastColumn="0" showRowStripes="1" showColumnStripes="0"/>
</table>
</file>

<file path=xl/tables/table29.xml><?xml version="1.0" encoding="utf-8"?>
<table xmlns="http://schemas.openxmlformats.org/spreadsheetml/2006/main" id="42" name="Table452_43" displayName="Table452_43" ref="A16:D21" totalsRowShown="0">
  <tableColumns count="4">
    <tableColumn id="1" name="Item" dataDxfId="112"/>
    <tableColumn id="2" name="Descrição" dataDxfId="113"/>
    <tableColumn id="3" name="Comentário" dataDxfId="114"/>
    <tableColumn id="4" name="Valor" dataDxfId="115"/>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43" name="Módulo358_44" displayName="Módulo358_44" ref="A75:D82" totalsRowCount="1">
  <autoFilter ref="A75:D81"/>
  <tableColumns count="4">
    <tableColumn id="1" name="3" totalsRowLabel="Total" dataDxfId="116"/>
    <tableColumn id="2" name="Provisão para Rescisão" dataDxfId="117"/>
    <tableColumn id="3" name="Percentual" totalsRowFunction="custom">
      <totalsRowFormula>SUM(C76:C81)</totalsRowFormula>
       dataDxfId="118"
    </tableColumn>
    <tableColumn id="4" name="Valor" totalsRowFunction="custom">
      <totalsRowFormula>TRUNC((SUM(D76:D81)),2)</totalsRowFormula>
       dataDxfId="119"
    </tableColumn>
  </tableColumns>
  <tableStyleInfo showFirstColumn="0" showLastColumn="0" showRowStripes="1" showColumnStripes="0"/>
</table>
</file>

<file path=xl/tables/table31.xml><?xml version="1.0" encoding="utf-8"?>
<table xmlns="http://schemas.openxmlformats.org/spreadsheetml/2006/main" id="44" name="Módulo562_45" displayName="Módulo562_45" ref="A112:D118" totalsRowCount="1">
  <autoFilter ref="A112:D117"/>
  <tableColumns count="4">
    <tableColumn id="1" name="5" totalsRowLabel="Total" dataDxfId="120"/>
    <tableColumn id="2" name="Insumos Diversos" dataDxfId="121"/>
    <tableColumn id="3" name="Comentário" dataDxfId="122"/>
    <tableColumn id="4" name="Valor" totalsRowFunction="custom">
      <totalsRowFormula>TRUNC(SUM(D113:D117),2)</totalsRowFormula>
       dataDxfId="123"
    </tableColumn>
  </tableColumns>
  <tableStyleInfo showFirstColumn="0" showLastColumn="0" showRowStripes="1" showColumnStripes="0"/>
</table>
</file>

<file path=xl/tables/table32.xml><?xml version="1.0" encoding="utf-8"?>
<table xmlns="http://schemas.openxmlformats.org/spreadsheetml/2006/main" id="45" name="Módulo663_46" displayName="Módulo663_46" ref="A128:D135" totalsRowCount="1">
  <tableColumns count="4">
    <tableColumn id="1" name="6" totalsRowLabel="Total" dataDxfId="124"/>
    <tableColumn id="2" name="Custos Indiretos, Tributos e Lucro" dataDxfId="125"/>
    <tableColumn id="3" name="Percentual" dataDxfId="126"/>
    <tableColumn id="4" name="Valor" totalsRowFunction="custom">
      <totalsRowFormula>TRUNC(SUM(D129:D131),2)</totalsRowFormula>
       dataDxfId="127"
    </tableColumn>
  </tableColumns>
  <tableStyleInfo showFirstColumn="0" showLastColumn="0" showRowStripes="1" showColumnStripes="0"/>
</table>
</file>

<file path=xl/tables/table33.xml><?xml version="1.0" encoding="utf-8"?>
<table xmlns="http://schemas.openxmlformats.org/spreadsheetml/2006/main" id="46" name="ResumoMódulo257_47" displayName="ResumoMódulo257_47" ref="A68:D72" totalsRowCount="1">
  <autoFilter ref="A68:D71"/>
  <tableColumns count="4">
    <tableColumn id="1" name="2" totalsRowLabel="Total" dataDxfId="128"/>
    <tableColumn id="2" name="Encargos e Benefícios Anuais, Mensais e Diários" dataDxfId="129"/>
    <tableColumn id="3" name="Comentário" dataDxfId="130"/>
    <tableColumn id="4" name="Valor" totalsRowFunction="custom">
      <totalsRowFormula>TRUNC((SUM(D69:D71)),2)</totalsRowFormula>
       dataDxfId="131"
    </tableColumn>
  </tableColumns>
  <tableStyleInfo showFirstColumn="0" showLastColumn="0" showRowStripes="1" showColumnStripes="0"/>
</table>
</file>

<file path=xl/tables/table34.xml><?xml version="1.0" encoding="utf-8"?>
<table xmlns="http://schemas.openxmlformats.org/spreadsheetml/2006/main" id="47" name="Submódulo2.154_48" displayName="Submódulo2.154_48" ref="A36:D39" totalsRowCount="1">
  <autoFilter ref="A36:D38"/>
  <tableColumns count="4">
    <tableColumn id="1" name="2.1" totalsRowLabel="Total" dataDxfId="132"/>
    <tableColumn id="2" name="13º (décimo terceiro) Salário, Férias e Adicional de Férias" dataDxfId="133"/>
    <tableColumn id="3" name="Percentual" dataDxfId="134"/>
    <tableColumn id="4" name="Valor" totalsRowFunction="custom">
      <totalsRowFormula>TRUNC((SUM(D37:D38)),2)</totalsRowFormula>
       dataDxfId="135"
    </tableColumn>
  </tableColumns>
  <tableStyleInfo showFirstColumn="0" showLastColumn="0" showRowStripes="1" showColumnStripes="0"/>
</table>
</file>

<file path=xl/tables/table35.xml><?xml version="1.0" encoding="utf-8"?>
<table xmlns="http://schemas.openxmlformats.org/spreadsheetml/2006/main" id="48" name="ResumoMódulo461_49" displayName="ResumoMódulo461_49" ref="A106:D109" totalsRowCount="1">
  <autoFilter ref="A106:D108"/>
  <tableColumns count="4">
    <tableColumn id="1" name="4" totalsRowLabel="Total" dataDxfId="136"/>
    <tableColumn id="2" name="Custo de Reposição do Profissional Ausente" dataDxfId="137"/>
    <tableColumn id="3" name="Comentário" totalsRowLabel="*Nota: Se o titular USUFRUIR do descanso intrajornada, o total é o somatório dos subitens 4.1 e 4.2" dataDxfId="138"/>
    <tableColumn id="4" name="Valor" totalsRowFunction="custom">
      <totalsRowFormula>TRUNC((SUM(D107:D108)),2)</totalsRowFormula>
       dataDxfId="139"
    </tableColumn>
  </tableColumns>
  <tableStyleInfo showFirstColumn="0" showLastColumn="0" showRowStripes="1" showColumnStripes="0"/>
</table>
</file>

<file path=xl/tables/table36.xml><?xml version="1.0" encoding="utf-8"?>
<table xmlns="http://schemas.openxmlformats.org/spreadsheetml/2006/main" id="49" name="Submódulo2.255_50" displayName="Submódulo2.255_50" ref="A46:D55" totalsRowCount="1">
  <autoFilter ref="A46:D54"/>
  <tableColumns count="4">
    <tableColumn id="1" name="2.2" totalsRowLabel="Total" dataDxfId="140"/>
    <tableColumn id="2" name="GPS, FGTS e outras contribuições" dataDxfId="141"/>
    <tableColumn id="3" name="Percentual" totalsRowFunction="custom">
      <totalsRowFormula>SUM(C47:C54)</totalsRowFormula>
       dataDxfId="142"
    </tableColumn>
    <tableColumn id="4" name="Valor " totalsRowFunction="custom">
      <totalsRowFormula>TRUNC((SUM(D47:D54)),2)</totalsRowFormula>
       dataDxfId="143"
    </tableColumn>
  </tableColumns>
  <tableStyleInfo showFirstColumn="0" showLastColumn="0" showRowStripes="1" showColumnStripes="0"/>
</table>
</file>

<file path=xl/tables/table37.xml><?xml version="1.0" encoding="utf-8"?>
<table xmlns="http://schemas.openxmlformats.org/spreadsheetml/2006/main" id="50" name="ResumoPosto64_51" displayName="ResumoPosto64_51" ref="A139:D147" totalsRowShown="0">
  <autoFilter ref="A139:D147"/>
  <tableColumns count="4">
    <tableColumn id="1" name="Item" dataDxfId="144"/>
    <tableColumn id="2" name="Mão de obra vinculada à execução contratual" dataDxfId="145"/>
    <tableColumn id="3" name="-" dataDxfId="146"/>
    <tableColumn id="4" name="Valor" dataDxfId="147"/>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148"/>
    <tableColumn id="2" name="Composição da Remuneração" dataDxfId="149"/>
    <tableColumn id="3" name="Comentário" dataDxfId="150"/>
    <tableColumn id="4" name="Valor" totalsRowFunction="custom">
      <totalsRowFormula>TRUNC(SUM(D25:D30),2)</totalsRowFormula>
       dataDxfId="151"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52"/>
    <tableColumn id="2" name="Benefícios Mensais e Diários" dataDxfId="153"/>
    <tableColumn id="3" name="Comentário" dataDxfId="154"/>
    <tableColumn id="4" name="Valor" totalsRowFunction="custom">
      <totalsRowFormula>TRUNC((SUM(D59:D64)),2)</totalsRowFormula>
       dataDxfId="155"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56"/>
    <tableColumn id="2" name="Substituto nas Ausências Legais" dataDxfId="157"/>
    <tableColumn id="3" name="Percentual" totalsRowFunction="custom">
      <totalsRowFormula>SUM(C92:C97)</totalsRowFormula>
       dataDxfId="158"
    </tableColumn>
    <tableColumn id="4" name="Valor" totalsRowFunction="custom">
      <totalsRowFormula>TRUNC((SUM(D92:D97)),2)</totalsRowFormula>
       dataDxfId="159"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60"/>
    <tableColumn id="2" name="Substituto na Intrajornada " dataDxfId="161"/>
    <tableColumn id="3" name="Comentário" dataDxfId="162"/>
    <tableColumn id="4" name="Valor" totalsRowFunction="custom">
      <totalsRowFormula>D102</totalsRowFormula>
       dataDxfId="163"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64"/>
    <tableColumn id="2" name="Descrição" dataDxfId="165"/>
    <tableColumn id="3" name="Comentário" dataDxfId="166"/>
    <tableColumn id="4" name="Valor" dataDxfId="167"/>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68"/>
    <tableColumn id="2" name="Provisão para Rescisão" dataDxfId="169"/>
    <tableColumn id="3" name="Percentual" totalsRowFunction="custom">
      <totalsRowFormula>SUM(C76:C81)</totalsRowFormula>
       dataDxfId="170"
    </tableColumn>
    <tableColumn id="4" name="Valor" totalsRowFunction="custom">
      <totalsRowFormula>TRUNC((SUM(D76:D81)),2)</totalsRowFormula>
       dataDxfId="171"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72"/>
    <tableColumn id="2" name="Insumos Diversos" dataDxfId="173"/>
    <tableColumn id="3" name="Comentário" dataDxfId="174"/>
    <tableColumn id="4" name="Valor" totalsRowFunction="custom">
      <totalsRowFormula>TRUNC(SUM(D113:D117),2)</totalsRowFormula>
       dataDxfId="175"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76"/>
    <tableColumn id="2" name="Custos Indiretos, Tributos e Lucro" dataDxfId="177"/>
    <tableColumn id="3" name="Percentual" dataDxfId="178"/>
    <tableColumn id="4" name="Valor" totalsRowFunction="custom">
      <totalsRowFormula>TRUNC(SUM(D129:D131),2)</totalsRowFormula>
       dataDxfId="179"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80"/>
    <tableColumn id="2" name="Encargos e Benefícios Anuais, Mensais e Diários" dataDxfId="181"/>
    <tableColumn id="3" name="Comentário" dataDxfId="182"/>
    <tableColumn id="4" name="Valor" totalsRowFunction="custom">
      <totalsRowFormula>TRUNC(SUM(D69:D71),2)</totalsRowFormula>
       dataDxfId="183"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dataDxfId="187"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88"/>
    <tableColumn id="2" name="Custo de Reposição do Profissional Ausente" dataDxfId="189"/>
    <tableColumn id="3" name="Comentário" totalsRowLabel="*Nota: Se o titular USUFRUIR do descanso intrajornada, o total é o somatório dos subitens 4.1 e 4.2" dataDxfId="190"/>
    <tableColumn id="4" name="Valor" totalsRowFunction="custom">
      <totalsRowFormula>TRUNC((SUM(D107:D108)),2)</totalsRowFormula>
       dataDxfId="191"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92"/>
    <tableColumn id="2" name="GPS, FGTS e outras contribuições" dataDxfId="193"/>
    <tableColumn id="3" name="Percentual" totalsRowFunction="custom">
      <totalsRowFormula>SUM(C47:C54)</totalsRowFormula>
       dataDxfId="194"
    </tableColumn>
    <tableColumn id="4" name="Valor " totalsRowFunction="custom">
      <totalsRowFormula>TRUNC((SUM(D47:D54)),2)</totalsRowFormula>
       dataDxfId="195"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96"/>
    <tableColumn id="2" name="Mão de obra vinculada à execução contratual" dataDxfId="197"/>
    <tableColumn id="3" name="-" dataDxfId="198"/>
    <tableColumn id="4" name="Valor" dataDxfId="199"/>
  </tableColumns>
  <tableStyleInfo showFirstColumn="0" showLastColumn="0" showRowStripes="1" showColumnStripes="0"/>
</table>
</file>

<file path=xl/tables/table51.xml><?xml version="1.0" encoding="utf-8"?>
<table xmlns="http://schemas.openxmlformats.org/spreadsheetml/2006/main" id="9" name="Submódulo2.356_7931" displayName="Submódulo2.356_7931" ref="A58:D65" totalsRowCount="1">
  <autoFilter ref="A58:D64"/>
  <tableColumns count="4">
    <tableColumn id="1" name="2.3" totalsRowLabel="Total" dataDxfId="200"/>
    <tableColumn id="2" name="Benefícios Mensais e Diários" dataDxfId="201"/>
    <tableColumn id="3" name="Comentário" dataDxfId="202"/>
    <tableColumn id="4" name="Valor" totalsRowFunction="custom">
      <totalsRowFormula>TRUNC((SUM(D59:D64)),2)</totalsRowFormula>
       dataDxfId="203"
    </tableColumn>
  </tableColumns>
  <tableStyleInfo showFirstColumn="0" showLastColumn="0" showRowStripes="1" showColumnStripes="0"/>
</table>
</file>

<file path=xl/tables/table52.xml><?xml version="1.0" encoding="utf-8"?>
<table xmlns="http://schemas.openxmlformats.org/spreadsheetml/2006/main" id="11" name="ResumoMódulo257_8630" displayName="ResumoMódulo257_8630" ref="A68:D72" totalsRowCount="1">
  <autoFilter ref="A68:D71"/>
  <tableColumns count="4">
    <tableColumn id="1" name="2" totalsRowLabel="Total" dataDxfId="204"/>
    <tableColumn id="2" name="Encargos e Benefícios Anuais, Mensais e Diários" dataDxfId="205"/>
    <tableColumn id="3" name="Comentário" dataDxfId="206"/>
    <tableColumn id="4" name="Valor" totalsRowFunction="custom">
      <totalsRowFormula>TRUNC(SUM(D69:D71),2)</totalsRowFormula>
       dataDxfId="207"
    </tableColumn>
  </tableColumns>
  <tableStyleInfo showFirstColumn="0" showLastColumn="0" showRowStripes="1" showColumnStripes="0"/>
</table>
</file>

<file path=xl/tables/table53.xml><?xml version="1.0" encoding="utf-8"?>
<table xmlns="http://schemas.openxmlformats.org/spreadsheetml/2006/main" id="13" name="Módulo663_8532" displayName="Módulo663_8532" ref="A128:D135" totalsRowCount="1">
  <tableColumns count="4">
    <tableColumn id="1" name="6" totalsRowLabel="Total" dataDxfId="208"/>
    <tableColumn id="2" name="Custos Indiretos, Tributos e Lucro" dataDxfId="209"/>
    <tableColumn id="3" name="Percentual" dataDxfId="210"/>
    <tableColumn id="4" name="Valor" totalsRowFunction="custom">
      <totalsRowFormula>TRUNC(SUM(D129:D131),2)</totalsRowFormula>
       dataDxfId="211"
    </tableColumn>
  </tableColumns>
  <tableStyleInfo showFirstColumn="0" showLastColumn="0" showRowStripes="1" showColumnStripes="0"/>
</table>
</file>

<file path=xl/tables/table54.xml><?xml version="1.0" encoding="utf-8"?>
<table xmlns="http://schemas.openxmlformats.org/spreadsheetml/2006/main" id="15" name="Submódulo2.154_8712" displayName="Submódulo2.154_8712" ref="A36:D39" totalsRowCount="1">
  <autoFilter ref="A36:D38"/>
  <tableColumns count="4">
    <tableColumn id="1" name="2.1" totalsRowLabel="Total" dataDxfId="212"/>
    <tableColumn id="2" name="13º (décimo terceiro) Salário, Férias e Adicional de Férias" dataDxfId="213"/>
    <tableColumn id="3" name="Percentual" dataDxfId="214"/>
    <tableColumn id="4" name="Valor" totalsRowFunction="custom">
      <totalsRowFormula>TRUNC((SUM(D37:D38)),2)</totalsRowFormula>
       dataDxfId="215"
    </tableColumn>
  </tableColumns>
  <tableStyleInfo showFirstColumn="0" showLastColumn="0" showRowStripes="1" showColumnStripes="0"/>
</table>
</file>

<file path=xl/tables/table55.xml><?xml version="1.0" encoding="utf-8"?>
<table xmlns="http://schemas.openxmlformats.org/spreadsheetml/2006/main" id="17" name="ResumoMódulo461_8814" displayName="ResumoMódulo461_8814" ref="A106:D109" totalsRowCount="1">
  <autoFilter ref="A106:D108"/>
  <tableColumns count="4">
    <tableColumn id="1" name="4" totalsRowLabel="Total" dataDxfId="216"/>
    <tableColumn id="2" name="Custo de Reposição do Profissional Ausente" dataDxfId="217"/>
    <tableColumn id="3" name="Comentário" totalsRowLabel="*Nota: Se o titular USUFRUIR do descanso intrajornada, o total é o somatório dos subitens 4.1 e 4.2" dataDxfId="218"/>
    <tableColumn id="4" name="Valor" totalsRowFunction="custom">
      <totalsRowFormula>TRUNC((SUM(D107:D108)),2)</totalsRowFormula>
       dataDxfId="219"
    </tableColumn>
  </tableColumns>
  <tableStyleInfo showFirstColumn="0" showLastColumn="0" showRowStripes="1" showColumnStripes="0"/>
</table>
</file>

<file path=xl/tables/table56.xml><?xml version="1.0" encoding="utf-8"?>
<table xmlns="http://schemas.openxmlformats.org/spreadsheetml/2006/main" id="19" name="Submódulo2.255_8916" displayName="Submódulo2.255_8916" ref="A46:D55" totalsRowCount="1">
  <autoFilter ref="A46:D54"/>
  <tableColumns count="4">
    <tableColumn id="1" name="2.2" totalsRowLabel="Total" dataDxfId="220"/>
    <tableColumn id="2" name="GPS, FGTS e outras contribuições" dataDxfId="221"/>
    <tableColumn id="3" name="Percentual" totalsRowFunction="custom">
      <totalsRowFormula>SUM(C47:C54)</totalsRowFormula>
       dataDxfId="222"
    </tableColumn>
    <tableColumn id="4" name="Valor " totalsRowFunction="custom">
      <totalsRowFormula>TRUNC((SUM(D47:D54)),2)</totalsRowFormula>
       dataDxfId="223"
    </tableColumn>
  </tableColumns>
  <tableStyleInfo showFirstColumn="0" showLastColumn="0" showRowStripes="1" showColumnStripes="0"/>
</table>
</file>

<file path=xl/tables/table57.xml><?xml version="1.0" encoding="utf-8"?>
<table xmlns="http://schemas.openxmlformats.org/spreadsheetml/2006/main" id="21" name="ResumoPosto64_9010" displayName="ResumoPosto64_9010" ref="A139:D147" totalsRowShown="0">
  <autoFilter ref="A139:D147"/>
  <tableColumns count="4">
    <tableColumn id="1" name="Item" dataDxfId="224"/>
    <tableColumn id="2" name="Mão de obra vinculada à execução contratual" dataDxfId="225"/>
    <tableColumn id="3" name="-" dataDxfId="226"/>
    <tableColumn id="4" name="Valor" dataDxfId="227"/>
  </tableColumns>
  <tableStyleInfo showFirstColumn="0" showLastColumn="0" showRowStripes="1" showColumnStripes="0"/>
</table>
</file>

<file path=xl/tables/table58.xml><?xml version="1.0" encoding="utf-8"?>
<table xmlns="http://schemas.openxmlformats.org/spreadsheetml/2006/main" id="23" name="Módulo153_7828" displayName="Módulo153_7828" ref="A24:D31" totalsRowCount="1">
  <autoFilter ref="A24:D30"/>
  <tableColumns count="4">
    <tableColumn id="1" name="1" totalsRowLabel="Total" dataDxfId="228"/>
    <tableColumn id="2" name="Composição da Remuneração" dataDxfId="229"/>
    <tableColumn id="3" name="Comentário" dataDxfId="230"/>
    <tableColumn id="4" name="Valor" totalsRowFunction="custom">
      <totalsRowFormula>TRUNC(SUM(D25:D30),2)</totalsRowFormula>
       dataDxfId="231"
    </tableColumn>
  </tableColumns>
  <tableStyleInfo showFirstColumn="0" showLastColumn="0" showRowStripes="1" showColumnStripes="0"/>
</table>
</file>

<file path=xl/tables/table59.xml><?xml version="1.0" encoding="utf-8"?>
<table xmlns="http://schemas.openxmlformats.org/spreadsheetml/2006/main" id="25" name="Módulo562_8424" displayName="Módulo562_8424" ref="A112:D118" totalsRowCount="1">
  <autoFilter ref="A112:D117"/>
  <tableColumns count="4">
    <tableColumn id="1" name="5" totalsRowLabel="Total" dataDxfId="232"/>
    <tableColumn id="2" name="Insumos Diversos" dataDxfId="233"/>
    <tableColumn id="3" name="Comentário" dataDxfId="234"/>
    <tableColumn id="4" name="Valor" totalsRowFunction="custom">
      <totalsRowFormula>TRUNC(SUM((D113:D117)),2)</totalsRowFormula>
       dataDxfId="235"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27" name="Submódulo4.159_8018" displayName="Submódulo4.159_8018" ref="A91:D98" totalsRowCount="1">
  <autoFilter ref="A91:D97"/>
  <tableColumns count="4">
    <tableColumn id="1" name="4.1" totalsRowLabel="Total" dataDxfId="236"/>
    <tableColumn id="2" name="Substituto nas Ausências Legais" dataDxfId="237"/>
    <tableColumn id="3" name="Percentual" totalsRowFunction="custom">
      <totalsRowFormula>SUM(C92:C97)</totalsRowFormula>
       dataDxfId="238"
    </tableColumn>
    <tableColumn id="4" name="Valor" totalsRowFunction="custom">
      <totalsRowFormula>TRUNC((SUM(D92:D97)),2)</totalsRowFormula>
       dataDxfId="239"
    </tableColumn>
  </tableColumns>
  <tableStyleInfo showFirstColumn="0" showLastColumn="0" showRowStripes="1" showColumnStripes="0"/>
</table>
</file>

<file path=xl/tables/table61.xml><?xml version="1.0" encoding="utf-8"?>
<table xmlns="http://schemas.openxmlformats.org/spreadsheetml/2006/main" id="29" name="Módulo358_8326" displayName="Módulo358_8326" ref="A75:D82" totalsRowCount="1">
  <autoFilter ref="A75:D81"/>
  <tableColumns count="4">
    <tableColumn id="1" name="3" totalsRowLabel="Total" dataDxfId="240"/>
    <tableColumn id="2" name="Provisão para Rescisão" dataDxfId="241"/>
    <tableColumn id="3" name="Percentual" totalsRowFunction="custom">
      <totalsRowFormula>SUM(C76:C81)</totalsRowFormula>
       dataDxfId="242"
    </tableColumn>
    <tableColumn id="4" name="Valor" totalsRowFunction="custom">
      <totalsRowFormula>TRUNC((SUM(D76:D81)),2)</totalsRowFormula>
       dataDxfId="243"
    </tableColumn>
  </tableColumns>
  <tableStyleInfo showFirstColumn="0" showLastColumn="0" showRowStripes="1" showColumnStripes="0"/>
</table>
</file>

<file path=xl/tables/table62.xml><?xml version="1.0" encoding="utf-8"?>
<table xmlns="http://schemas.openxmlformats.org/spreadsheetml/2006/main" id="30" name="Table452_8222" displayName="Table452_8222" ref="A16:D21" totalsRowShown="0">
  <tableColumns count="4">
    <tableColumn id="1" name="Item" dataDxfId="244"/>
    <tableColumn id="2" name="Descrição" dataDxfId="245"/>
    <tableColumn id="3" name="Comentário" dataDxfId="246"/>
    <tableColumn id="4" name="Valor" dataDxfId="247"/>
  </tableColumns>
  <tableStyleInfo showFirstColumn="0" showLastColumn="0" showRowStripes="1" showColumnStripes="0"/>
</table>
</file>

<file path=xl/tables/table63.xml><?xml version="1.0" encoding="utf-8"?>
<table xmlns="http://schemas.openxmlformats.org/spreadsheetml/2006/main" id="31" name="Submódulo4.260_8120" displayName="Submódulo4.260_8120" ref="A101:D103" totalsRowCount="1">
  <autoFilter ref="A101:D102"/>
  <tableColumns count="4">
    <tableColumn id="1" name="4.2" totalsRowLabel="Total" dataDxfId="248"/>
    <tableColumn id="2" name="Substituto na Intrajornada " dataDxfId="249"/>
    <tableColumn id="3" name="Comentário" dataDxfId="250"/>
    <tableColumn id="4" name="Valor" totalsRowFunction="custom">
      <totalsRowFormula>D102</totalsRowFormula>
       dataDxfId="251"
    </tableColumn>
  </tableColumns>
  <tableStyleInfo showFirstColumn="0" showLastColumn="0" showRowStripes="1" showColumnStripes="0"/>
</table>
</file>

<file path=xl/tables/table64.xml><?xml version="1.0" encoding="utf-8"?>
<table xmlns="http://schemas.openxmlformats.org/spreadsheetml/2006/main" id="51" name="ResumoMódulo257_863099" displayName="ResumoMódulo257_863099" ref="A68:D72" totalsRowCount="1">
  <autoFilter ref="A68:D71"/>
  <tableColumns count="4">
    <tableColumn id="1" name="2" totalsRowLabel="Total" dataDxfId="252"/>
    <tableColumn id="2" name="Encargos e Benefícios Anuais, Mensais e Diários" dataDxfId="253"/>
    <tableColumn id="3" name="Comentário" dataDxfId="254"/>
    <tableColumn id="4" name="Valor" totalsRowFunction="custom">
      <totalsRowFormula>TRUNC(SUM(D69:D71),2)</totalsRowFormula>
       dataDxfId="255"
    </tableColumn>
  </tableColumns>
  <tableStyleInfo showFirstColumn="0" showLastColumn="0" showRowStripes="1" showColumnStripes="0"/>
</table>
</file>

<file path=xl/tables/table65.xml><?xml version="1.0" encoding="utf-8"?>
<table xmlns="http://schemas.openxmlformats.org/spreadsheetml/2006/main" id="52" name="Submódulo2.356_7931101" displayName="Submódulo2.356_7931101" ref="A58:D65" totalsRowCount="1">
  <autoFilter ref="A58:D64"/>
  <tableColumns count="4">
    <tableColumn id="1" name="2.3" totalsRowLabel="Total" dataDxfId="256"/>
    <tableColumn id="2" name="Benefícios Mensais e Diários" dataDxfId="257"/>
    <tableColumn id="3" name="Comentário" dataDxfId="258"/>
    <tableColumn id="4" name="Valor" totalsRowFunction="custom">
      <totalsRowFormula>TRUNC((SUM(D59:D64)),2)</totalsRowFormula>
       dataDxfId="259"
    </tableColumn>
  </tableColumns>
  <tableStyleInfo showFirstColumn="0" showLastColumn="0" showRowStripes="1" showColumnStripes="0"/>
</table>
</file>

<file path=xl/tables/table66.xml><?xml version="1.0" encoding="utf-8"?>
<table xmlns="http://schemas.openxmlformats.org/spreadsheetml/2006/main" id="53" name="ResumoPosto64_901094" displayName="ResumoPosto64_901094" ref="A139:D147" totalsRowShown="0">
  <autoFilter ref="A139:D147"/>
  <tableColumns count="4">
    <tableColumn id="1" name="Item" dataDxfId="260"/>
    <tableColumn id="2" name="Mão de obra vinculada à execução contratual" dataDxfId="261"/>
    <tableColumn id="3" name="-" dataDxfId="262"/>
    <tableColumn id="4" name="Valor" dataDxfId="263"/>
  </tableColumns>
  <tableStyleInfo showFirstColumn="0" showLastColumn="0" showRowStripes="1" showColumnStripes="0"/>
</table>
</file>

<file path=xl/tables/table67.xml><?xml version="1.0" encoding="utf-8"?>
<table xmlns="http://schemas.openxmlformats.org/spreadsheetml/2006/main" id="54" name="Table452_8222100" displayName="Table452_8222100" ref="A16:D21" totalsRowShown="0">
  <tableColumns count="4">
    <tableColumn id="1" name="Item" dataDxfId="264"/>
    <tableColumn id="2" name="Descrição" dataDxfId="265"/>
    <tableColumn id="3" name="Comentário" dataDxfId="266"/>
    <tableColumn id="4" name="Valor" dataDxfId="267"/>
  </tableColumns>
  <tableStyleInfo showFirstColumn="0" showLastColumn="0" showRowStripes="1" showColumnStripes="0"/>
</table>
</file>

<file path=xl/tables/table68.xml><?xml version="1.0" encoding="utf-8"?>
<table xmlns="http://schemas.openxmlformats.org/spreadsheetml/2006/main" id="55" name="Módulo562_842491" displayName="Módulo562_842491" ref="A112:D118" totalsRowCount="1">
  <autoFilter ref="A112:D117"/>
  <tableColumns count="4">
    <tableColumn id="1" name="5" totalsRowLabel="Total" dataDxfId="268"/>
    <tableColumn id="2" name="Insumos Diversos" dataDxfId="269"/>
    <tableColumn id="3" name="Comentário" dataDxfId="270"/>
    <tableColumn id="4" name="Valor" totalsRowFunction="custom">
      <totalsRowFormula>TRUNC(SUM((D113:D117)),2)</totalsRowFormula>
       dataDxfId="271"
    </tableColumn>
  </tableColumns>
  <tableStyleInfo showFirstColumn="0" showLastColumn="0" showRowStripes="1" showColumnStripes="0"/>
</table>
</file>

<file path=xl/tables/table69.xml><?xml version="1.0" encoding="utf-8"?>
<table xmlns="http://schemas.openxmlformats.org/spreadsheetml/2006/main" id="56" name="Submódulo4.159_801898" displayName="Submódulo4.159_801898" ref="A91:D98" totalsRowCount="1">
  <autoFilter ref="A91:D97"/>
  <tableColumns count="4">
    <tableColumn id="1" name="4.1" totalsRowLabel="Total" dataDxfId="272"/>
    <tableColumn id="2" name="Substituto nas Ausências Legais" dataDxfId="273"/>
    <tableColumn id="3" name="Percentual" totalsRowFunction="custom">
      <totalsRowFormula>SUM(C92:C97)</totalsRowFormula>
       dataDxfId="274"
    </tableColumn>
    <tableColumn id="4" name="Valor" totalsRowFunction="custom">
      <totalsRowFormula>TRUNC((SUM(D92:D97)),2)</totalsRowFormula>
       dataDxfId="275"
    </tableColumn>
  </tableColumns>
  <tableStyleInfo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70.xml><?xml version="1.0" encoding="utf-8"?>
<table xmlns="http://schemas.openxmlformats.org/spreadsheetml/2006/main" id="57" name="Submódulo4.260_8120102" displayName="Submódulo4.260_8120102" ref="A101:D103" totalsRowCount="1">
  <autoFilter ref="A101:D102"/>
  <tableColumns count="4">
    <tableColumn id="1" name="4.2" totalsRowLabel="Total" dataDxfId="276"/>
    <tableColumn id="2" name="Substituto na Intrajornada " dataDxfId="277"/>
    <tableColumn id="3" name="Comentário" dataDxfId="278"/>
    <tableColumn id="4" name="Valor" totalsRowFunction="custom">
      <totalsRowFormula>D102</totalsRowFormula>
       dataDxfId="279"
    </tableColumn>
  </tableColumns>
  <tableStyleInfo showFirstColumn="0" showLastColumn="0" showRowStripes="1" showColumnStripes="0"/>
</table>
</file>

<file path=xl/tables/table71.xml><?xml version="1.0" encoding="utf-8"?>
<table xmlns="http://schemas.openxmlformats.org/spreadsheetml/2006/main" id="58" name="ResumoMódulo461_881495" displayName="ResumoMódulo461_881495" ref="A106:D109" totalsRowCount="1">
  <autoFilter ref="A106:D108"/>
  <tableColumns count="4">
    <tableColumn id="1" name="4" totalsRowLabel="Total" dataDxfId="280"/>
    <tableColumn id="2" name="Custo de Reposição do Profissional Ausente" dataDxfId="281"/>
    <tableColumn id="3" name="Comentário" totalsRowLabel="*Nota: Se o titular USUFRUIR do descanso intrajornada, o total é o somatório dos subitens 4.1 e 4.2" dataDxfId="282"/>
    <tableColumn id="4" name="Valor" totalsRowFunction="custom">
      <totalsRowFormula>TRUNC((SUM(D107:D108)),2)</totalsRowFormula>
       dataDxfId="283"
    </tableColumn>
  </tableColumns>
  <tableStyleInfo showFirstColumn="0" showLastColumn="0" showRowStripes="1" showColumnStripes="0"/>
</table>
</file>

<file path=xl/tables/table72.xml><?xml version="1.0" encoding="utf-8"?>
<table xmlns="http://schemas.openxmlformats.org/spreadsheetml/2006/main" id="59" name="Módulo358_8326103" displayName="Módulo358_8326103" ref="A75:D82" totalsRowCount="1">
  <autoFilter ref="A75:D81"/>
  <tableColumns count="4">
    <tableColumn id="1" name="3" totalsRowLabel="Total" dataDxfId="284"/>
    <tableColumn id="2" name="Provisão para Rescisão" dataDxfId="285"/>
    <tableColumn id="3" name="Percentual" totalsRowFunction="custom">
      <totalsRowFormula>SUM(C76:C81)</totalsRowFormula>
       dataDxfId="286"
    </tableColumn>
    <tableColumn id="4" name="Valor" totalsRowFunction="custom">
      <totalsRowFormula>TRUNC((SUM(D76:D81)),2)</totalsRowFormula>
       dataDxfId="287"
    </tableColumn>
  </tableColumns>
  <tableStyleInfo showFirstColumn="0" showLastColumn="0" showRowStripes="1" showColumnStripes="0"/>
</table>
</file>

<file path=xl/tables/table73.xml><?xml version="1.0" encoding="utf-8"?>
<table xmlns="http://schemas.openxmlformats.org/spreadsheetml/2006/main" id="60" name="Módulo663_853293" displayName="Módulo663_853293" ref="A128:D135" totalsRowCount="1">
  <tableColumns count="4">
    <tableColumn id="1" name="6" totalsRowLabel="Total" dataDxfId="288"/>
    <tableColumn id="2" name="Custos Indiretos, Tributos e Lucro" dataDxfId="289"/>
    <tableColumn id="3" name="Percentual" dataDxfId="290"/>
    <tableColumn id="4" name="Valor" totalsRowFunction="custom">
      <totalsRowFormula>TRUNC(SUM(D129:D131),2)</totalsRowFormula>
       dataDxfId="291"
    </tableColumn>
  </tableColumns>
  <tableStyleInfo showFirstColumn="0" showLastColumn="0" showRowStripes="1" showColumnStripes="0"/>
</table>
</file>

<file path=xl/tables/table74.xml><?xml version="1.0" encoding="utf-8"?>
<table xmlns="http://schemas.openxmlformats.org/spreadsheetml/2006/main" id="61" name="Módulo153_782896" displayName="Módulo153_782896" ref="A24:D31" totalsRowCount="1">
  <autoFilter ref="A24:D30"/>
  <tableColumns count="4">
    <tableColumn id="1" name="1" totalsRowLabel="Total" dataDxfId="292"/>
    <tableColumn id="2" name="Composição da Remuneração" dataDxfId="293"/>
    <tableColumn id="3" name="Comentário" dataDxfId="294"/>
    <tableColumn id="4" name="Valor" totalsRowFunction="custom">
      <totalsRowFormula>TRUNC(SUM(D25:D30),2)</totalsRowFormula>
       dataDxfId="295"
    </tableColumn>
  </tableColumns>
  <tableStyleInfo showFirstColumn="0" showLastColumn="0" showRowStripes="1" showColumnStripes="0"/>
</table>
</file>

<file path=xl/tables/table75.xml><?xml version="1.0" encoding="utf-8"?>
<table xmlns="http://schemas.openxmlformats.org/spreadsheetml/2006/main" id="62" name="Submódulo2.255_891692" displayName="Submódulo2.255_891692" ref="A46:D55" totalsRowCount="1">
  <autoFilter ref="A46:D54"/>
  <tableColumns count="4">
    <tableColumn id="1" name="2.2" totalsRowLabel="Total" dataDxfId="296"/>
    <tableColumn id="2" name="GPS, FGTS e outras contribuições" dataDxfId="297"/>
    <tableColumn id="3" name="Percentual" totalsRowFunction="custom">
      <totalsRowFormula>SUM(C47:C54)</totalsRowFormula>
       dataDxfId="298"
    </tableColumn>
    <tableColumn id="4" name="Valor " totalsRowFunction="custom">
      <totalsRowFormula>TRUNC((SUM(D47:D54)),2)</totalsRowFormula>
       dataDxfId="299"
    </tableColumn>
  </tableColumns>
  <tableStyleInfo showFirstColumn="0" showLastColumn="0" showRowStripes="1" showColumnStripes="0"/>
</table>
</file>

<file path=xl/tables/table76.xml><?xml version="1.0" encoding="utf-8"?>
<table xmlns="http://schemas.openxmlformats.org/spreadsheetml/2006/main" id="63" name="Submódulo2.154_871297" displayName="Submódulo2.154_871297" ref="A36:D39" totalsRowCount="1">
  <autoFilter ref="A36:D38"/>
  <tableColumns count="4">
    <tableColumn id="1" name="2.1" totalsRowLabel="Total" dataDxfId="300"/>
    <tableColumn id="2" name="13º (décimo terceiro) Salário, Férias e Adicional de Férias" dataDxfId="301"/>
    <tableColumn id="3" name="Percentual" dataDxfId="302"/>
    <tableColumn id="4" name="Valor" totalsRowFunction="custom">
      <totalsRowFormula>TRUNC((SUM(D37:D38)),2)</totalsRowFormula>
       dataDxfId="303"
    </tableColumn>
  </tableColumns>
  <tableStyleInfo showFirstColumn="0" showLastColumn="0" showRowStripes="1" showColumnStripes="0"/>
</table>
</file>

<file path=xl/tables/table77.xml><?xml version="1.0" encoding="utf-8"?>
<table xmlns="http://schemas.openxmlformats.org/spreadsheetml/2006/main" id="142" name="Table43_143" displayName="Table43_143" ref="A103:H119">
  <autoFilter ref="A103:H119"/>
  <tableColumns count="8">
    <tableColumn id="1" name="ITEM" totalsRowLabel="Total" dataDxfId="304"/>
    <tableColumn id="2" name="PEÇA" dataDxfId="305"/>
    <tableColumn id="3" name="DESCRIÇÃO" dataDxfId="306"/>
    <tableColumn id="4" name="UNIDADE" dataDxfId="307"/>
    <tableColumn id="5" name="VALOR MÉDIO UNITÁRIO (R$)" dataDxfId="308"/>
    <tableColumn id="6" name="QUANTIDADE ANUAL" dataDxfId="309"/>
    <tableColumn id="7" name="VALOR ANUAL POR EMPREGADO (R$)" dataDxfId="310"/>
    <tableColumn id="8" name="VALOR MENSAL POR EMPREGADO (R$)" totalsRowFunction="sum" dataDxfId="311"/>
  </tableColumns>
  <tableStyleInfo showFirstColumn="0" showLastColumn="0" showRowStripes="1" showColumnStripes="0"/>
</table>
</file>

<file path=xl/tables/table78.xml><?xml version="1.0" encoding="utf-8"?>
<table xmlns="http://schemas.openxmlformats.org/spreadsheetml/2006/main" id="2" name="Table43_14365" displayName="Table43_14365" ref="A3:H10">
  <autoFilter ref="A3:H10"/>
  <tableColumns count="8">
    <tableColumn id="1" name="ITEM" totalsRowLabel="Total"/>
    <tableColumn id="2" name="PEÇA" dataDxfId="312"/>
    <tableColumn id="3" name="DESCRIÇÃO"/>
    <tableColumn id="4" name="UNIDADE" dataDxfId="313"/>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79.xml><?xml version="1.0" encoding="utf-8"?>
<table xmlns="http://schemas.openxmlformats.org/spreadsheetml/2006/main" id="3" name="Table43_1436566" displayName="Table43_1436566" ref="A16:H23">
  <autoFilter ref="A16:H23"/>
  <tableColumns count="8">
    <tableColumn id="1" name="ITEM" totalsRowLabel="Total"/>
    <tableColumn id="2" name="PEÇA" dataDxfId="314"/>
    <tableColumn id="3" name="DESCRIÇÃO"/>
    <tableColumn id="4" name="UNIDADE" dataDxfId="315"/>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80.xml><?xml version="1.0" encoding="utf-8"?>
<table xmlns="http://schemas.openxmlformats.org/spreadsheetml/2006/main" id="4" name="Table43_1435" displayName="Table43_1435" ref="A29:H36">
  <autoFilter ref="A29:H36"/>
  <tableColumns count="8">
    <tableColumn id="1" name="ITEM" totalsRowLabel="Total"/>
    <tableColumn id="2" name="PEÇA" dataDxfId="316"/>
    <tableColumn id="3" name="DESCRIÇÃO"/>
    <tableColumn id="4" name="UNIDADE" dataDxfId="317"/>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81.xml><?xml version="1.0" encoding="utf-8"?>
<table xmlns="http://schemas.openxmlformats.org/spreadsheetml/2006/main" id="1" name="Table44" displayName="Table44" ref="A90:F111" totalsRowCount="1">
  <autoFilter ref="A90:F110"/>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82.xml><?xml version="1.0" encoding="utf-8"?>
<table xmlns="http://schemas.openxmlformats.org/spreadsheetml/2006/main" id="7" name="Table39" displayName="Table39" ref="A2:G9" totalsRowCount="1">
  <tableColumns count="7">
    <tableColumn id="1" name="Item" totalsRowLabel="TOTAL" dataDxfId="318"/>
    <tableColumn id="2" name="Descrição" dataDxfId="319"/>
    <tableColumn id="7" name="Unidade" dataDxfId="320"/>
    <tableColumn id="3" name="Quantidade" dataDxfId="321"/>
    <tableColumn id="6" name="VIGÊNCIA " dataDxfId="322"/>
    <tableColumn id="4" name="VALOR UNITÁRIO MÁXIMO ACEITÁVEL" dataDxfId="323"/>
    <tableColumn id="5" name="VALOR TOTAL MÁXIMO ACEITÁVEL" totalsRowFunction="custom">
      <totalsRowFormula>SUM(G3:G8)</totalsRowFormula>
       dataDxfId="324"
    </tableColumn>
  </tableColumns>
  <tableStyleInfo name="TableStyleMedium14"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table" Target="../tables/table8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2.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7.xml.rels><?xml version="1.0" encoding="UTF-8" standalone="yes"?>
<Relationships xmlns="http://schemas.openxmlformats.org/package/2006/relationships"><Relationship Id="rId9" Type="http://schemas.openxmlformats.org/officeDocument/2006/relationships/table" Target="../tables/table72.xml"/><Relationship Id="rId8" Type="http://schemas.openxmlformats.org/officeDocument/2006/relationships/table" Target="../tables/table71.xml"/><Relationship Id="rId7" Type="http://schemas.openxmlformats.org/officeDocument/2006/relationships/table" Target="../tables/table70.xml"/><Relationship Id="rId6" Type="http://schemas.openxmlformats.org/officeDocument/2006/relationships/table" Target="../tables/table69.xml"/><Relationship Id="rId5" Type="http://schemas.openxmlformats.org/officeDocument/2006/relationships/table" Target="../tables/table68.xml"/><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3" Type="http://schemas.openxmlformats.org/officeDocument/2006/relationships/table" Target="../tables/table76.xml"/><Relationship Id="rId12" Type="http://schemas.openxmlformats.org/officeDocument/2006/relationships/table" Target="../tables/table75.xml"/><Relationship Id="rId11" Type="http://schemas.openxmlformats.org/officeDocument/2006/relationships/table" Target="../tables/table74.xml"/><Relationship Id="rId10" Type="http://schemas.openxmlformats.org/officeDocument/2006/relationships/table" Target="../tables/table73.xml"/><Relationship Id="rId1" Type="http://schemas.openxmlformats.org/officeDocument/2006/relationships/table" Target="../tables/table64.xml"/></Relationships>
</file>

<file path=xl/worksheets/_rels/sheet9.xml.rels><?xml version="1.0" encoding="UTF-8" standalone="yes"?>
<Relationships xmlns="http://schemas.openxmlformats.org/package/2006/relationships"><Relationship Id="rId4" Type="http://schemas.openxmlformats.org/officeDocument/2006/relationships/table" Target="../tables/table80.xml"/><Relationship Id="rId3" Type="http://schemas.openxmlformats.org/officeDocument/2006/relationships/table" Target="../tables/table79.xml"/><Relationship Id="rId2" Type="http://schemas.openxmlformats.org/officeDocument/2006/relationships/table" Target="../tables/table78.xml"/><Relationship Id="rId1" Type="http://schemas.openxmlformats.org/officeDocument/2006/relationships/table" Target="../tables/table7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7"/>
  <sheetViews>
    <sheetView topLeftCell="A95" workbookViewId="0">
      <selection activeCell="K93" sqref="K93"/>
    </sheetView>
  </sheetViews>
  <sheetFormatPr defaultColWidth="8.88571428571429" defaultRowHeight="15" outlineLevelCol="5"/>
  <cols>
    <col min="2" max="2" width="35.7142857142857" customWidth="1"/>
    <col min="3" max="3" width="27" customWidth="1"/>
    <col min="4" max="4" width="18.5714285714286" customWidth="1"/>
    <col min="5" max="5" width="17" customWidth="1"/>
    <col min="6" max="6" width="17.5714285714286" customWidth="1"/>
    <col min="7" max="7" width="12.552380952381" customWidth="1"/>
  </cols>
  <sheetData>
    <row r="1" spans="1:6">
      <c r="A1" s="22" t="s">
        <v>327</v>
      </c>
      <c r="B1" s="22"/>
      <c r="C1" s="22"/>
      <c r="D1" s="22"/>
      <c r="E1" s="22"/>
      <c r="F1" s="22"/>
    </row>
    <row r="2" ht="30" spans="1:6">
      <c r="A2" s="23" t="s">
        <v>259</v>
      </c>
      <c r="B2" s="23" t="s">
        <v>261</v>
      </c>
      <c r="C2" s="23" t="s">
        <v>262</v>
      </c>
      <c r="D2" s="24" t="s">
        <v>328</v>
      </c>
      <c r="E2" s="23" t="s">
        <v>238</v>
      </c>
      <c r="F2" s="23" t="s">
        <v>329</v>
      </c>
    </row>
    <row r="3" spans="1:6">
      <c r="A3" s="25">
        <v>1</v>
      </c>
      <c r="B3" s="26" t="s">
        <v>330</v>
      </c>
      <c r="C3" s="25" t="s">
        <v>331</v>
      </c>
      <c r="D3" s="16">
        <v>2</v>
      </c>
      <c r="E3" s="27">
        <v>28.4</v>
      </c>
      <c r="F3" s="28">
        <f t="shared" ref="F3:F66" si="0">TRUNC(E3*D3,2)</f>
        <v>56.8</v>
      </c>
    </row>
    <row r="4" spans="1:6">
      <c r="A4" s="25">
        <v>2</v>
      </c>
      <c r="B4" s="26" t="s">
        <v>332</v>
      </c>
      <c r="C4" s="25" t="s">
        <v>331</v>
      </c>
      <c r="D4" s="16">
        <v>2</v>
      </c>
      <c r="E4" s="27">
        <v>51.65</v>
      </c>
      <c r="F4" s="28">
        <f t="shared" si="0"/>
        <v>103.3</v>
      </c>
    </row>
    <row r="5" spans="1:6">
      <c r="A5" s="25">
        <v>3</v>
      </c>
      <c r="B5" s="26" t="s">
        <v>333</v>
      </c>
      <c r="C5" s="25" t="s">
        <v>331</v>
      </c>
      <c r="D5" s="16">
        <v>2</v>
      </c>
      <c r="E5" s="27">
        <v>35.19</v>
      </c>
      <c r="F5" s="28">
        <f t="shared" si="0"/>
        <v>70.38</v>
      </c>
    </row>
    <row r="6" spans="1:6">
      <c r="A6" s="25">
        <v>4</v>
      </c>
      <c r="B6" s="26" t="s">
        <v>334</v>
      </c>
      <c r="C6" s="25" t="s">
        <v>331</v>
      </c>
      <c r="D6" s="16">
        <v>2</v>
      </c>
      <c r="E6" s="27">
        <v>60.75</v>
      </c>
      <c r="F6" s="28">
        <f t="shared" si="0"/>
        <v>121.5</v>
      </c>
    </row>
    <row r="7" spans="1:6">
      <c r="A7" s="25">
        <v>5</v>
      </c>
      <c r="B7" s="26" t="s">
        <v>335</v>
      </c>
      <c r="C7" s="25" t="s">
        <v>331</v>
      </c>
      <c r="D7" s="16">
        <v>2</v>
      </c>
      <c r="E7" s="27">
        <v>14</v>
      </c>
      <c r="F7" s="28">
        <f t="shared" si="0"/>
        <v>28</v>
      </c>
    </row>
    <row r="8" spans="1:6">
      <c r="A8" s="25">
        <v>6</v>
      </c>
      <c r="B8" s="26" t="s">
        <v>336</v>
      </c>
      <c r="C8" s="25" t="s">
        <v>331</v>
      </c>
      <c r="D8" s="16">
        <v>2</v>
      </c>
      <c r="E8" s="27">
        <v>11.38</v>
      </c>
      <c r="F8" s="28">
        <f t="shared" si="0"/>
        <v>22.76</v>
      </c>
    </row>
    <row r="9" spans="1:6">
      <c r="A9" s="25">
        <v>7</v>
      </c>
      <c r="B9" s="26" t="s">
        <v>337</v>
      </c>
      <c r="C9" s="25" t="s">
        <v>331</v>
      </c>
      <c r="D9" s="16">
        <v>2</v>
      </c>
      <c r="E9" s="27">
        <v>12.87</v>
      </c>
      <c r="F9" s="28">
        <f t="shared" si="0"/>
        <v>25.74</v>
      </c>
    </row>
    <row r="10" spans="1:6">
      <c r="A10" s="25">
        <v>8</v>
      </c>
      <c r="B10" s="26" t="s">
        <v>338</v>
      </c>
      <c r="C10" s="25" t="s">
        <v>331</v>
      </c>
      <c r="D10" s="16">
        <v>2</v>
      </c>
      <c r="E10" s="27">
        <v>27.23</v>
      </c>
      <c r="F10" s="28">
        <f t="shared" si="0"/>
        <v>54.46</v>
      </c>
    </row>
    <row r="11" spans="1:6">
      <c r="A11" s="25">
        <v>9</v>
      </c>
      <c r="B11" s="26" t="s">
        <v>339</v>
      </c>
      <c r="C11" s="25" t="s">
        <v>331</v>
      </c>
      <c r="D11" s="16">
        <v>2</v>
      </c>
      <c r="E11" s="27">
        <v>9.61</v>
      </c>
      <c r="F11" s="28">
        <f t="shared" si="0"/>
        <v>19.22</v>
      </c>
    </row>
    <row r="12" spans="1:6">
      <c r="A12" s="25">
        <v>10</v>
      </c>
      <c r="B12" s="26" t="s">
        <v>340</v>
      </c>
      <c r="C12" s="25" t="s">
        <v>331</v>
      </c>
      <c r="D12" s="16">
        <v>2</v>
      </c>
      <c r="E12" s="27">
        <v>9.71</v>
      </c>
      <c r="F12" s="28">
        <f t="shared" si="0"/>
        <v>19.42</v>
      </c>
    </row>
    <row r="13" spans="1:6">
      <c r="A13" s="25">
        <v>11</v>
      </c>
      <c r="B13" s="26" t="s">
        <v>341</v>
      </c>
      <c r="C13" s="25" t="s">
        <v>331</v>
      </c>
      <c r="D13" s="16">
        <v>2</v>
      </c>
      <c r="E13" s="27">
        <v>35.31</v>
      </c>
      <c r="F13" s="28">
        <f t="shared" si="0"/>
        <v>70.62</v>
      </c>
    </row>
    <row r="14" spans="1:6">
      <c r="A14" s="25">
        <v>12</v>
      </c>
      <c r="B14" s="26" t="s">
        <v>342</v>
      </c>
      <c r="C14" s="25" t="s">
        <v>331</v>
      </c>
      <c r="D14" s="16">
        <v>2</v>
      </c>
      <c r="E14" s="27">
        <v>13</v>
      </c>
      <c r="F14" s="28">
        <f t="shared" si="0"/>
        <v>26</v>
      </c>
    </row>
    <row r="15" ht="28.5" spans="1:6">
      <c r="A15" s="25">
        <v>13</v>
      </c>
      <c r="B15" s="26" t="s">
        <v>343</v>
      </c>
      <c r="C15" s="25" t="s">
        <v>331</v>
      </c>
      <c r="D15" s="16">
        <v>2</v>
      </c>
      <c r="E15" s="27">
        <v>98</v>
      </c>
      <c r="F15" s="28">
        <f t="shared" si="0"/>
        <v>196</v>
      </c>
    </row>
    <row r="16" ht="28.5" spans="1:6">
      <c r="A16" s="25">
        <v>14</v>
      </c>
      <c r="B16" s="26" t="s">
        <v>344</v>
      </c>
      <c r="C16" s="25" t="s">
        <v>331</v>
      </c>
      <c r="D16" s="16">
        <v>2</v>
      </c>
      <c r="E16" s="27">
        <v>150</v>
      </c>
      <c r="F16" s="28">
        <f t="shared" si="0"/>
        <v>300</v>
      </c>
    </row>
    <row r="17" ht="28.5" spans="1:6">
      <c r="A17" s="25">
        <v>15</v>
      </c>
      <c r="B17" s="26" t="s">
        <v>345</v>
      </c>
      <c r="C17" s="25" t="s">
        <v>331</v>
      </c>
      <c r="D17" s="16">
        <v>2</v>
      </c>
      <c r="E17" s="27">
        <v>39.83</v>
      </c>
      <c r="F17" s="28">
        <f t="shared" si="0"/>
        <v>79.66</v>
      </c>
    </row>
    <row r="18" ht="28.5" spans="1:6">
      <c r="A18" s="25">
        <v>16</v>
      </c>
      <c r="B18" s="26" t="s">
        <v>346</v>
      </c>
      <c r="C18" s="25" t="s">
        <v>331</v>
      </c>
      <c r="D18" s="16">
        <v>2</v>
      </c>
      <c r="E18" s="27">
        <v>92.6</v>
      </c>
      <c r="F18" s="28">
        <f t="shared" si="0"/>
        <v>185.2</v>
      </c>
    </row>
    <row r="19" spans="1:6">
      <c r="A19" s="25">
        <v>17</v>
      </c>
      <c r="B19" s="26" t="s">
        <v>347</v>
      </c>
      <c r="C19" s="25" t="s">
        <v>331</v>
      </c>
      <c r="D19" s="16">
        <v>4</v>
      </c>
      <c r="E19" s="27">
        <v>5.7</v>
      </c>
      <c r="F19" s="28">
        <f t="shared" si="0"/>
        <v>22.8</v>
      </c>
    </row>
    <row r="20" spans="1:6">
      <c r="A20" s="25">
        <v>18</v>
      </c>
      <c r="B20" s="26" t="s">
        <v>348</v>
      </c>
      <c r="C20" s="25" t="s">
        <v>331</v>
      </c>
      <c r="D20" s="16">
        <v>2</v>
      </c>
      <c r="E20" s="27">
        <v>18.02</v>
      </c>
      <c r="F20" s="28">
        <f t="shared" si="0"/>
        <v>36.04</v>
      </c>
    </row>
    <row r="21" spans="1:6">
      <c r="A21" s="25">
        <v>19</v>
      </c>
      <c r="B21" s="26" t="s">
        <v>349</v>
      </c>
      <c r="C21" s="25" t="s">
        <v>331</v>
      </c>
      <c r="D21" s="16">
        <v>2</v>
      </c>
      <c r="E21" s="27">
        <v>41.23</v>
      </c>
      <c r="F21" s="28">
        <f t="shared" si="0"/>
        <v>82.46</v>
      </c>
    </row>
    <row r="22" spans="1:6">
      <c r="A22" s="25">
        <v>20</v>
      </c>
      <c r="B22" s="26" t="s">
        <v>350</v>
      </c>
      <c r="C22" s="25" t="s">
        <v>331</v>
      </c>
      <c r="D22" s="16">
        <v>2</v>
      </c>
      <c r="E22" s="27">
        <v>51.93</v>
      </c>
      <c r="F22" s="28">
        <f t="shared" si="0"/>
        <v>103.86</v>
      </c>
    </row>
    <row r="23" spans="1:6">
      <c r="A23" s="25">
        <v>21</v>
      </c>
      <c r="B23" s="26" t="s">
        <v>351</v>
      </c>
      <c r="C23" s="25" t="s">
        <v>331</v>
      </c>
      <c r="D23" s="16">
        <v>2</v>
      </c>
      <c r="E23" s="27">
        <v>34.25</v>
      </c>
      <c r="F23" s="28">
        <f t="shared" si="0"/>
        <v>68.5</v>
      </c>
    </row>
    <row r="24" spans="1:6">
      <c r="A24" s="25">
        <v>22</v>
      </c>
      <c r="B24" s="26" t="s">
        <v>352</v>
      </c>
      <c r="C24" s="25" t="s">
        <v>331</v>
      </c>
      <c r="D24" s="16">
        <v>1</v>
      </c>
      <c r="E24" s="27">
        <v>19.19</v>
      </c>
      <c r="F24" s="28">
        <f t="shared" si="0"/>
        <v>19.19</v>
      </c>
    </row>
    <row r="25" spans="1:6">
      <c r="A25" s="25">
        <v>23</v>
      </c>
      <c r="B25" s="26" t="s">
        <v>353</v>
      </c>
      <c r="C25" s="25" t="s">
        <v>331</v>
      </c>
      <c r="D25" s="16">
        <v>1</v>
      </c>
      <c r="E25" s="27">
        <v>27.99</v>
      </c>
      <c r="F25" s="28">
        <f t="shared" si="0"/>
        <v>27.99</v>
      </c>
    </row>
    <row r="26" spans="1:6">
      <c r="A26" s="25">
        <v>24</v>
      </c>
      <c r="B26" s="26" t="s">
        <v>354</v>
      </c>
      <c r="C26" s="25" t="s">
        <v>331</v>
      </c>
      <c r="D26" s="16">
        <v>2</v>
      </c>
      <c r="E26" s="27">
        <v>10.28</v>
      </c>
      <c r="F26" s="28">
        <f t="shared" si="0"/>
        <v>20.56</v>
      </c>
    </row>
    <row r="27" spans="1:6">
      <c r="A27" s="25">
        <v>25</v>
      </c>
      <c r="B27" s="26" t="s">
        <v>355</v>
      </c>
      <c r="C27" s="25" t="s">
        <v>331</v>
      </c>
      <c r="D27" s="16">
        <v>2</v>
      </c>
      <c r="E27" s="27">
        <v>14.3</v>
      </c>
      <c r="F27" s="28">
        <f t="shared" si="0"/>
        <v>28.6</v>
      </c>
    </row>
    <row r="28" spans="1:6">
      <c r="A28" s="25">
        <v>26</v>
      </c>
      <c r="B28" s="26" t="s">
        <v>356</v>
      </c>
      <c r="C28" s="25" t="s">
        <v>331</v>
      </c>
      <c r="D28" s="16">
        <v>2</v>
      </c>
      <c r="E28" s="27">
        <v>58.65</v>
      </c>
      <c r="F28" s="28">
        <f t="shared" si="0"/>
        <v>117.3</v>
      </c>
    </row>
    <row r="29" spans="1:6">
      <c r="A29" s="25">
        <v>27</v>
      </c>
      <c r="B29" s="26" t="s">
        <v>357</v>
      </c>
      <c r="C29" s="25" t="s">
        <v>331</v>
      </c>
      <c r="D29" s="16">
        <v>4</v>
      </c>
      <c r="E29" s="27">
        <v>31.28</v>
      </c>
      <c r="F29" s="28">
        <f t="shared" si="0"/>
        <v>125.12</v>
      </c>
    </row>
    <row r="30" spans="1:6">
      <c r="A30" s="25">
        <v>28</v>
      </c>
      <c r="B30" s="26" t="s">
        <v>358</v>
      </c>
      <c r="C30" s="25" t="s">
        <v>331</v>
      </c>
      <c r="D30" s="16">
        <v>4</v>
      </c>
      <c r="E30" s="27">
        <v>24</v>
      </c>
      <c r="F30" s="28">
        <f t="shared" si="0"/>
        <v>96</v>
      </c>
    </row>
    <row r="31" spans="1:6">
      <c r="A31" s="25">
        <v>29</v>
      </c>
      <c r="B31" s="26" t="s">
        <v>359</v>
      </c>
      <c r="C31" s="25" t="s">
        <v>331</v>
      </c>
      <c r="D31" s="16">
        <v>4</v>
      </c>
      <c r="E31" s="27">
        <v>52.19</v>
      </c>
      <c r="F31" s="28">
        <f t="shared" si="0"/>
        <v>208.76</v>
      </c>
    </row>
    <row r="32" spans="1:6">
      <c r="A32" s="25">
        <v>30</v>
      </c>
      <c r="B32" s="26" t="s">
        <v>360</v>
      </c>
      <c r="C32" s="25" t="s">
        <v>331</v>
      </c>
      <c r="D32" s="16">
        <v>4</v>
      </c>
      <c r="E32" s="27">
        <v>33.39</v>
      </c>
      <c r="F32" s="28">
        <f t="shared" si="0"/>
        <v>133.56</v>
      </c>
    </row>
    <row r="33" spans="1:6">
      <c r="A33" s="25">
        <v>31</v>
      </c>
      <c r="B33" s="26" t="s">
        <v>361</v>
      </c>
      <c r="C33" s="25" t="s">
        <v>331</v>
      </c>
      <c r="D33" s="16">
        <v>2</v>
      </c>
      <c r="E33" s="27">
        <v>53.87</v>
      </c>
      <c r="F33" s="28">
        <f t="shared" si="0"/>
        <v>107.74</v>
      </c>
    </row>
    <row r="34" spans="1:6">
      <c r="A34" s="25">
        <v>32</v>
      </c>
      <c r="B34" s="26" t="s">
        <v>362</v>
      </c>
      <c r="C34" s="25" t="s">
        <v>331</v>
      </c>
      <c r="D34" s="16">
        <v>2</v>
      </c>
      <c r="E34" s="27">
        <v>22.58</v>
      </c>
      <c r="F34" s="28">
        <f t="shared" si="0"/>
        <v>45.16</v>
      </c>
    </row>
    <row r="35" ht="28.5" spans="1:6">
      <c r="A35" s="25">
        <v>33</v>
      </c>
      <c r="B35" s="26" t="s">
        <v>363</v>
      </c>
      <c r="C35" s="25" t="s">
        <v>331</v>
      </c>
      <c r="D35" s="16">
        <v>1</v>
      </c>
      <c r="E35" s="27">
        <v>17.56</v>
      </c>
      <c r="F35" s="28">
        <f t="shared" si="0"/>
        <v>17.56</v>
      </c>
    </row>
    <row r="36" spans="1:6">
      <c r="A36" s="25">
        <v>34</v>
      </c>
      <c r="B36" s="26" t="s">
        <v>364</v>
      </c>
      <c r="C36" s="25" t="s">
        <v>331</v>
      </c>
      <c r="D36" s="16">
        <v>1</v>
      </c>
      <c r="E36" s="27">
        <v>40</v>
      </c>
      <c r="F36" s="28">
        <f t="shared" si="0"/>
        <v>40</v>
      </c>
    </row>
    <row r="37" spans="1:6">
      <c r="A37" s="25">
        <v>35</v>
      </c>
      <c r="B37" s="26" t="s">
        <v>365</v>
      </c>
      <c r="C37" s="25" t="s">
        <v>331</v>
      </c>
      <c r="D37" s="16">
        <v>2</v>
      </c>
      <c r="E37" s="27">
        <v>25.55</v>
      </c>
      <c r="F37" s="28">
        <f t="shared" si="0"/>
        <v>51.1</v>
      </c>
    </row>
    <row r="38" spans="1:6">
      <c r="A38" s="25">
        <v>36</v>
      </c>
      <c r="B38" s="26" t="s">
        <v>366</v>
      </c>
      <c r="C38" s="25" t="s">
        <v>331</v>
      </c>
      <c r="D38" s="16">
        <v>2</v>
      </c>
      <c r="E38" s="27">
        <v>39.34</v>
      </c>
      <c r="F38" s="28">
        <f t="shared" si="0"/>
        <v>78.68</v>
      </c>
    </row>
    <row r="39" spans="1:6">
      <c r="A39" s="25">
        <v>37</v>
      </c>
      <c r="B39" s="26" t="s">
        <v>367</v>
      </c>
      <c r="C39" s="25" t="s">
        <v>331</v>
      </c>
      <c r="D39" s="16">
        <v>2</v>
      </c>
      <c r="E39" s="27">
        <v>13.75</v>
      </c>
      <c r="F39" s="28">
        <f t="shared" si="0"/>
        <v>27.5</v>
      </c>
    </row>
    <row r="40" spans="1:6">
      <c r="A40" s="25">
        <v>38</v>
      </c>
      <c r="B40" s="26" t="s">
        <v>368</v>
      </c>
      <c r="C40" s="25" t="s">
        <v>331</v>
      </c>
      <c r="D40" s="16">
        <v>2</v>
      </c>
      <c r="E40" s="27">
        <v>20.17</v>
      </c>
      <c r="F40" s="28">
        <f t="shared" si="0"/>
        <v>40.34</v>
      </c>
    </row>
    <row r="41" spans="1:6">
      <c r="A41" s="25">
        <v>39</v>
      </c>
      <c r="B41" s="26" t="s">
        <v>369</v>
      </c>
      <c r="C41" s="25" t="s">
        <v>331</v>
      </c>
      <c r="D41" s="16">
        <v>2</v>
      </c>
      <c r="E41" s="27">
        <v>30.26</v>
      </c>
      <c r="F41" s="28">
        <f t="shared" si="0"/>
        <v>60.52</v>
      </c>
    </row>
    <row r="42" spans="1:6">
      <c r="A42" s="25">
        <v>40</v>
      </c>
      <c r="B42" s="26" t="s">
        <v>370</v>
      </c>
      <c r="C42" s="25" t="s">
        <v>331</v>
      </c>
      <c r="D42" s="16">
        <v>2</v>
      </c>
      <c r="E42" s="27">
        <v>21.32</v>
      </c>
      <c r="F42" s="28">
        <f t="shared" si="0"/>
        <v>42.64</v>
      </c>
    </row>
    <row r="43" spans="1:6">
      <c r="A43" s="25">
        <v>41</v>
      </c>
      <c r="B43" s="26" t="s">
        <v>371</v>
      </c>
      <c r="C43" s="25" t="s">
        <v>331</v>
      </c>
      <c r="D43" s="16">
        <v>4</v>
      </c>
      <c r="E43" s="27">
        <v>9.31</v>
      </c>
      <c r="F43" s="28">
        <f t="shared" si="0"/>
        <v>37.24</v>
      </c>
    </row>
    <row r="44" spans="1:6">
      <c r="A44" s="25">
        <v>42</v>
      </c>
      <c r="B44" s="26" t="s">
        <v>372</v>
      </c>
      <c r="C44" s="25" t="s">
        <v>331</v>
      </c>
      <c r="D44" s="16">
        <v>2</v>
      </c>
      <c r="E44" s="27">
        <v>11.47</v>
      </c>
      <c r="F44" s="28">
        <f t="shared" si="0"/>
        <v>22.94</v>
      </c>
    </row>
    <row r="45" spans="1:6">
      <c r="A45" s="25">
        <v>43</v>
      </c>
      <c r="B45" s="26" t="s">
        <v>373</v>
      </c>
      <c r="C45" s="25" t="s">
        <v>331</v>
      </c>
      <c r="D45" s="16">
        <v>2</v>
      </c>
      <c r="E45" s="27">
        <v>9.12</v>
      </c>
      <c r="F45" s="28">
        <f t="shared" si="0"/>
        <v>18.24</v>
      </c>
    </row>
    <row r="46" spans="1:6">
      <c r="A46" s="25">
        <v>44</v>
      </c>
      <c r="B46" s="26" t="s">
        <v>374</v>
      </c>
      <c r="C46" s="25" t="s">
        <v>331</v>
      </c>
      <c r="D46" s="16">
        <v>1</v>
      </c>
      <c r="E46" s="27">
        <v>31.96</v>
      </c>
      <c r="F46" s="28">
        <f t="shared" si="0"/>
        <v>31.96</v>
      </c>
    </row>
    <row r="47" spans="1:6">
      <c r="A47" s="25">
        <v>45</v>
      </c>
      <c r="B47" s="26" t="s">
        <v>375</v>
      </c>
      <c r="C47" s="25" t="s">
        <v>331</v>
      </c>
      <c r="D47" s="16">
        <v>2</v>
      </c>
      <c r="E47" s="27">
        <v>17.48</v>
      </c>
      <c r="F47" s="28">
        <f t="shared" si="0"/>
        <v>34.96</v>
      </c>
    </row>
    <row r="48" spans="1:6">
      <c r="A48" s="25">
        <v>46</v>
      </c>
      <c r="B48" s="26" t="s">
        <v>376</v>
      </c>
      <c r="C48" s="25" t="s">
        <v>331</v>
      </c>
      <c r="D48" s="16">
        <v>1</v>
      </c>
      <c r="E48" s="27">
        <v>67.59</v>
      </c>
      <c r="F48" s="28">
        <f t="shared" si="0"/>
        <v>67.59</v>
      </c>
    </row>
    <row r="49" spans="1:6">
      <c r="A49" s="25">
        <v>47</v>
      </c>
      <c r="B49" s="26" t="s">
        <v>377</v>
      </c>
      <c r="C49" s="25" t="s">
        <v>331</v>
      </c>
      <c r="D49" s="16">
        <v>2</v>
      </c>
      <c r="E49" s="27">
        <v>36</v>
      </c>
      <c r="F49" s="28">
        <f t="shared" si="0"/>
        <v>72</v>
      </c>
    </row>
    <row r="50" ht="28.5" spans="1:6">
      <c r="A50" s="25">
        <v>48</v>
      </c>
      <c r="B50" s="26" t="s">
        <v>378</v>
      </c>
      <c r="C50" s="25" t="s">
        <v>331</v>
      </c>
      <c r="D50" s="16">
        <v>1</v>
      </c>
      <c r="E50" s="27">
        <v>15.8</v>
      </c>
      <c r="F50" s="28">
        <f t="shared" si="0"/>
        <v>15.8</v>
      </c>
    </row>
    <row r="51" spans="1:6">
      <c r="A51" s="25">
        <v>49</v>
      </c>
      <c r="B51" s="26" t="s">
        <v>379</v>
      </c>
      <c r="C51" s="25" t="s">
        <v>331</v>
      </c>
      <c r="D51" s="16">
        <v>5</v>
      </c>
      <c r="E51" s="27">
        <v>6.3</v>
      </c>
      <c r="F51" s="28">
        <f t="shared" si="0"/>
        <v>31.5</v>
      </c>
    </row>
    <row r="52" spans="1:6">
      <c r="A52" s="25">
        <v>50</v>
      </c>
      <c r="B52" s="26" t="s">
        <v>380</v>
      </c>
      <c r="C52" s="25" t="s">
        <v>331</v>
      </c>
      <c r="D52" s="16">
        <v>5</v>
      </c>
      <c r="E52" s="27">
        <v>5.88</v>
      </c>
      <c r="F52" s="28">
        <f t="shared" si="0"/>
        <v>29.4</v>
      </c>
    </row>
    <row r="53" ht="28.5" spans="1:6">
      <c r="A53" s="25">
        <v>51</v>
      </c>
      <c r="B53" s="26" t="s">
        <v>381</v>
      </c>
      <c r="C53" s="25" t="s">
        <v>331</v>
      </c>
      <c r="D53" s="16">
        <v>5</v>
      </c>
      <c r="E53" s="27">
        <v>5.63</v>
      </c>
      <c r="F53" s="28">
        <f t="shared" si="0"/>
        <v>28.15</v>
      </c>
    </row>
    <row r="54" spans="1:6">
      <c r="A54" s="25">
        <v>52</v>
      </c>
      <c r="B54" s="26" t="s">
        <v>382</v>
      </c>
      <c r="C54" s="25" t="s">
        <v>331</v>
      </c>
      <c r="D54" s="16">
        <v>5</v>
      </c>
      <c r="E54" s="27">
        <v>8</v>
      </c>
      <c r="F54" s="28">
        <f t="shared" si="0"/>
        <v>40</v>
      </c>
    </row>
    <row r="55" ht="28.5" spans="1:6">
      <c r="A55" s="25">
        <v>53</v>
      </c>
      <c r="B55" s="26" t="s">
        <v>383</v>
      </c>
      <c r="C55" s="25" t="s">
        <v>331</v>
      </c>
      <c r="D55" s="16">
        <v>2</v>
      </c>
      <c r="E55" s="27">
        <v>27.67</v>
      </c>
      <c r="F55" s="28">
        <f t="shared" si="0"/>
        <v>55.34</v>
      </c>
    </row>
    <row r="56" spans="1:6">
      <c r="A56" s="25">
        <v>54</v>
      </c>
      <c r="B56" s="26" t="s">
        <v>384</v>
      </c>
      <c r="C56" s="25" t="s">
        <v>331</v>
      </c>
      <c r="D56" s="16">
        <v>5</v>
      </c>
      <c r="E56" s="27">
        <v>6.79</v>
      </c>
      <c r="F56" s="28">
        <f t="shared" si="0"/>
        <v>33.95</v>
      </c>
    </row>
    <row r="57" spans="1:6">
      <c r="A57" s="25">
        <v>55</v>
      </c>
      <c r="B57" s="26" t="s">
        <v>385</v>
      </c>
      <c r="C57" s="25" t="s">
        <v>331</v>
      </c>
      <c r="D57" s="16">
        <v>5</v>
      </c>
      <c r="E57" s="27">
        <v>5.9</v>
      </c>
      <c r="F57" s="28">
        <f t="shared" si="0"/>
        <v>29.5</v>
      </c>
    </row>
    <row r="58" spans="1:6">
      <c r="A58" s="25">
        <v>56</v>
      </c>
      <c r="B58" s="26" t="s">
        <v>386</v>
      </c>
      <c r="C58" s="25" t="s">
        <v>331</v>
      </c>
      <c r="D58" s="16">
        <v>5</v>
      </c>
      <c r="E58" s="27">
        <v>23.73</v>
      </c>
      <c r="F58" s="28">
        <f t="shared" si="0"/>
        <v>118.65</v>
      </c>
    </row>
    <row r="59" spans="1:6">
      <c r="A59" s="25">
        <v>57</v>
      </c>
      <c r="B59" s="26" t="s">
        <v>387</v>
      </c>
      <c r="C59" s="25" t="s">
        <v>331</v>
      </c>
      <c r="D59" s="16">
        <v>3</v>
      </c>
      <c r="E59" s="27">
        <v>9</v>
      </c>
      <c r="F59" s="28">
        <f t="shared" si="0"/>
        <v>27</v>
      </c>
    </row>
    <row r="60" spans="1:6">
      <c r="A60" s="25">
        <v>58</v>
      </c>
      <c r="B60" s="26" t="s">
        <v>388</v>
      </c>
      <c r="C60" s="25" t="s">
        <v>331</v>
      </c>
      <c r="D60" s="16">
        <v>2</v>
      </c>
      <c r="E60" s="27">
        <v>62.69</v>
      </c>
      <c r="F60" s="28">
        <f t="shared" si="0"/>
        <v>125.38</v>
      </c>
    </row>
    <row r="61" spans="1:6">
      <c r="A61" s="25">
        <v>59</v>
      </c>
      <c r="B61" s="26" t="s">
        <v>389</v>
      </c>
      <c r="C61" s="25" t="s">
        <v>331</v>
      </c>
      <c r="D61" s="16">
        <v>3</v>
      </c>
      <c r="E61" s="27">
        <v>36.68</v>
      </c>
      <c r="F61" s="28">
        <f t="shared" si="0"/>
        <v>110.04</v>
      </c>
    </row>
    <row r="62" spans="1:6">
      <c r="A62" s="25">
        <v>60</v>
      </c>
      <c r="B62" s="26" t="s">
        <v>390</v>
      </c>
      <c r="C62" s="25" t="s">
        <v>331</v>
      </c>
      <c r="D62" s="16">
        <v>3</v>
      </c>
      <c r="E62" s="27">
        <v>57.67</v>
      </c>
      <c r="F62" s="28">
        <f t="shared" si="0"/>
        <v>173.01</v>
      </c>
    </row>
    <row r="63" ht="28.5" spans="1:6">
      <c r="A63" s="25">
        <v>61</v>
      </c>
      <c r="B63" s="26" t="s">
        <v>391</v>
      </c>
      <c r="C63" s="25" t="s">
        <v>331</v>
      </c>
      <c r="D63" s="16">
        <v>3</v>
      </c>
      <c r="E63" s="27">
        <v>53.87</v>
      </c>
      <c r="F63" s="28">
        <f t="shared" si="0"/>
        <v>161.61</v>
      </c>
    </row>
    <row r="64" ht="28.5" spans="1:6">
      <c r="A64" s="25">
        <v>62</v>
      </c>
      <c r="B64" s="26" t="s">
        <v>392</v>
      </c>
      <c r="C64" s="25" t="s">
        <v>331</v>
      </c>
      <c r="D64" s="16">
        <v>3</v>
      </c>
      <c r="E64" s="27">
        <v>38.39</v>
      </c>
      <c r="F64" s="28">
        <f t="shared" si="0"/>
        <v>115.17</v>
      </c>
    </row>
    <row r="65" ht="28.5" spans="1:6">
      <c r="A65" s="25">
        <v>63</v>
      </c>
      <c r="B65" s="26" t="s">
        <v>393</v>
      </c>
      <c r="C65" s="25" t="s">
        <v>331</v>
      </c>
      <c r="D65" s="16">
        <v>3</v>
      </c>
      <c r="E65" s="27">
        <v>33.34</v>
      </c>
      <c r="F65" s="28">
        <f t="shared" si="0"/>
        <v>100.02</v>
      </c>
    </row>
    <row r="66" ht="28.5" spans="1:6">
      <c r="A66" s="25">
        <v>64</v>
      </c>
      <c r="B66" s="26" t="s">
        <v>394</v>
      </c>
      <c r="C66" s="25" t="s">
        <v>331</v>
      </c>
      <c r="D66" s="16">
        <v>2</v>
      </c>
      <c r="E66" s="27">
        <v>64.59</v>
      </c>
      <c r="F66" s="28">
        <f t="shared" si="0"/>
        <v>129.18</v>
      </c>
    </row>
    <row r="67" ht="28.5" spans="1:6">
      <c r="A67" s="25">
        <v>65</v>
      </c>
      <c r="B67" s="26" t="s">
        <v>395</v>
      </c>
      <c r="C67" s="25" t="s">
        <v>331</v>
      </c>
      <c r="D67" s="16">
        <v>2</v>
      </c>
      <c r="E67" s="27">
        <v>39</v>
      </c>
      <c r="F67" s="28">
        <f t="shared" ref="F67:F82" si="1">TRUNC(E67*D67,2)</f>
        <v>78</v>
      </c>
    </row>
    <row r="68" ht="28.5" spans="1:6">
      <c r="A68" s="25">
        <v>66</v>
      </c>
      <c r="B68" s="26" t="s">
        <v>396</v>
      </c>
      <c r="C68" s="25" t="s">
        <v>331</v>
      </c>
      <c r="D68" s="16">
        <v>2</v>
      </c>
      <c r="E68" s="27">
        <v>248.59</v>
      </c>
      <c r="F68" s="28">
        <f t="shared" si="1"/>
        <v>497.18</v>
      </c>
    </row>
    <row r="69" spans="1:6">
      <c r="A69" s="25">
        <v>67</v>
      </c>
      <c r="B69" s="26" t="s">
        <v>397</v>
      </c>
      <c r="C69" s="25" t="s">
        <v>331</v>
      </c>
      <c r="D69" s="16">
        <v>3</v>
      </c>
      <c r="E69" s="27">
        <v>19.52</v>
      </c>
      <c r="F69" s="28">
        <f t="shared" si="1"/>
        <v>58.56</v>
      </c>
    </row>
    <row r="70" spans="1:6">
      <c r="A70" s="25">
        <v>68</v>
      </c>
      <c r="B70" s="26" t="s">
        <v>398</v>
      </c>
      <c r="C70" s="25" t="s">
        <v>331</v>
      </c>
      <c r="D70" s="16">
        <v>5</v>
      </c>
      <c r="E70" s="27">
        <v>5.55</v>
      </c>
      <c r="F70" s="28">
        <f t="shared" si="1"/>
        <v>27.75</v>
      </c>
    </row>
    <row r="71" spans="1:6">
      <c r="A71" s="25">
        <v>69</v>
      </c>
      <c r="B71" s="26" t="s">
        <v>399</v>
      </c>
      <c r="C71" s="25" t="s">
        <v>331</v>
      </c>
      <c r="D71" s="16">
        <v>5</v>
      </c>
      <c r="E71" s="27">
        <v>7.93</v>
      </c>
      <c r="F71" s="28">
        <f t="shared" si="1"/>
        <v>39.65</v>
      </c>
    </row>
    <row r="72" spans="1:6">
      <c r="A72" s="25">
        <v>70</v>
      </c>
      <c r="B72" s="26" t="s">
        <v>400</v>
      </c>
      <c r="C72" s="25" t="s">
        <v>331</v>
      </c>
      <c r="D72" s="16">
        <v>3</v>
      </c>
      <c r="E72" s="27">
        <v>58.03</v>
      </c>
      <c r="F72" s="28">
        <f t="shared" si="1"/>
        <v>174.09</v>
      </c>
    </row>
    <row r="73" spans="1:6">
      <c r="A73" s="25">
        <v>71</v>
      </c>
      <c r="B73" s="26" t="s">
        <v>401</v>
      </c>
      <c r="C73" s="25" t="s">
        <v>331</v>
      </c>
      <c r="D73" s="16">
        <v>2</v>
      </c>
      <c r="E73" s="27">
        <v>31.97</v>
      </c>
      <c r="F73" s="28">
        <f t="shared" si="1"/>
        <v>63.94</v>
      </c>
    </row>
    <row r="74" spans="1:6">
      <c r="A74" s="25">
        <v>72</v>
      </c>
      <c r="B74" s="26" t="s">
        <v>402</v>
      </c>
      <c r="C74" s="25" t="s">
        <v>331</v>
      </c>
      <c r="D74" s="16">
        <v>2</v>
      </c>
      <c r="E74" s="27">
        <v>41.37</v>
      </c>
      <c r="F74" s="28">
        <f t="shared" si="1"/>
        <v>82.74</v>
      </c>
    </row>
    <row r="75" ht="28.5" spans="1:6">
      <c r="A75" s="25">
        <v>73</v>
      </c>
      <c r="B75" s="26" t="s">
        <v>403</v>
      </c>
      <c r="C75" s="25" t="s">
        <v>331</v>
      </c>
      <c r="D75" s="16">
        <v>5</v>
      </c>
      <c r="E75" s="27">
        <v>56.37</v>
      </c>
      <c r="F75" s="28">
        <f t="shared" si="1"/>
        <v>281.85</v>
      </c>
    </row>
    <row r="76" spans="1:6">
      <c r="A76" s="25">
        <v>74</v>
      </c>
      <c r="B76" s="26" t="s">
        <v>404</v>
      </c>
      <c r="C76" s="25" t="s">
        <v>331</v>
      </c>
      <c r="D76" s="16">
        <v>1</v>
      </c>
      <c r="E76" s="27">
        <v>64.11</v>
      </c>
      <c r="F76" s="28">
        <f t="shared" si="1"/>
        <v>64.11</v>
      </c>
    </row>
    <row r="77" spans="1:6">
      <c r="A77" s="25">
        <v>75</v>
      </c>
      <c r="B77" s="26" t="s">
        <v>405</v>
      </c>
      <c r="C77" s="25" t="s">
        <v>331</v>
      </c>
      <c r="D77" s="16">
        <v>0</v>
      </c>
      <c r="E77" s="27">
        <v>47.71</v>
      </c>
      <c r="F77" s="28">
        <f t="shared" si="1"/>
        <v>0</v>
      </c>
    </row>
    <row r="78" spans="1:6">
      <c r="A78" s="25">
        <v>76</v>
      </c>
      <c r="B78" s="26" t="s">
        <v>406</v>
      </c>
      <c r="C78" s="25" t="s">
        <v>331</v>
      </c>
      <c r="D78" s="16">
        <v>0</v>
      </c>
      <c r="E78" s="27">
        <v>102.92</v>
      </c>
      <c r="F78" s="28">
        <f t="shared" si="1"/>
        <v>0</v>
      </c>
    </row>
    <row r="79" spans="1:6">
      <c r="A79" s="25">
        <v>77</v>
      </c>
      <c r="B79" s="26" t="s">
        <v>407</v>
      </c>
      <c r="C79" s="25" t="s">
        <v>331</v>
      </c>
      <c r="D79" s="16">
        <v>2</v>
      </c>
      <c r="E79" s="27">
        <v>74.38</v>
      </c>
      <c r="F79" s="28">
        <f t="shared" si="1"/>
        <v>148.76</v>
      </c>
    </row>
    <row r="80" spans="1:6">
      <c r="A80" s="25">
        <v>78</v>
      </c>
      <c r="B80" s="29" t="s">
        <v>408</v>
      </c>
      <c r="C80" s="25" t="s">
        <v>331</v>
      </c>
      <c r="D80" s="16">
        <v>3</v>
      </c>
      <c r="E80" s="27">
        <v>288.5</v>
      </c>
      <c r="F80" s="28">
        <f t="shared" si="1"/>
        <v>865.5</v>
      </c>
    </row>
    <row r="81" spans="1:6">
      <c r="A81" s="25">
        <v>79</v>
      </c>
      <c r="B81" s="29" t="s">
        <v>409</v>
      </c>
      <c r="C81" s="25" t="s">
        <v>331</v>
      </c>
      <c r="D81" s="16">
        <v>2</v>
      </c>
      <c r="E81" s="27">
        <v>98</v>
      </c>
      <c r="F81" s="28">
        <f t="shared" si="1"/>
        <v>196</v>
      </c>
    </row>
    <row r="82" spans="1:6">
      <c r="A82" s="25">
        <v>80</v>
      </c>
      <c r="B82" s="29" t="s">
        <v>410</v>
      </c>
      <c r="C82" s="25" t="s">
        <v>331</v>
      </c>
      <c r="D82" s="16">
        <v>1</v>
      </c>
      <c r="E82" s="27">
        <v>129.98</v>
      </c>
      <c r="F82" s="28">
        <f t="shared" si="1"/>
        <v>129.98</v>
      </c>
    </row>
    <row r="83" spans="1:6">
      <c r="A83" s="30" t="s">
        <v>329</v>
      </c>
      <c r="B83" s="30"/>
      <c r="C83" s="30"/>
      <c r="D83" s="30"/>
      <c r="E83" s="31">
        <f>TRUNC(SUM(F3:F82),2)</f>
        <v>7297.78</v>
      </c>
      <c r="F83" s="31"/>
    </row>
    <row r="84" spans="1:6">
      <c r="A84" s="30" t="s">
        <v>411</v>
      </c>
      <c r="B84" s="30"/>
      <c r="C84" s="30"/>
      <c r="D84" s="30"/>
      <c r="E84" s="30">
        <v>2</v>
      </c>
      <c r="F84" s="30"/>
    </row>
    <row r="85" spans="1:6">
      <c r="A85" s="30" t="s">
        <v>412</v>
      </c>
      <c r="B85" s="30"/>
      <c r="C85" s="30"/>
      <c r="D85" s="30"/>
      <c r="E85" s="31">
        <f>TRUNC((E83/E84)/12,2)</f>
        <v>304.07</v>
      </c>
      <c r="F85" s="31"/>
    </row>
    <row r="86" spans="1:6">
      <c r="A86" s="32"/>
      <c r="B86" s="32"/>
      <c r="C86" s="32"/>
      <c r="D86" s="33"/>
      <c r="E86" s="32"/>
      <c r="F86" s="32"/>
    </row>
    <row r="87" spans="1:6">
      <c r="A87" s="32"/>
      <c r="B87" s="32"/>
      <c r="C87" s="32"/>
      <c r="D87" s="33"/>
      <c r="E87" s="32"/>
      <c r="F87" s="32"/>
    </row>
    <row r="88" spans="1:6">
      <c r="A88" s="32"/>
      <c r="B88" s="32"/>
      <c r="C88" s="32"/>
      <c r="D88" s="33"/>
      <c r="E88" s="32"/>
      <c r="F88" s="32"/>
    </row>
    <row r="89" spans="1:6">
      <c r="A89" s="34" t="s">
        <v>413</v>
      </c>
      <c r="B89" s="34"/>
      <c r="C89" s="34"/>
      <c r="D89" s="35"/>
      <c r="E89" s="34"/>
      <c r="F89" s="34"/>
    </row>
    <row r="90" ht="28.5" spans="1:6">
      <c r="A90" s="36" t="s">
        <v>259</v>
      </c>
      <c r="B90" s="36" t="s">
        <v>261</v>
      </c>
      <c r="C90" s="36" t="s">
        <v>262</v>
      </c>
      <c r="D90" s="36" t="s">
        <v>328</v>
      </c>
      <c r="E90" s="37" t="s">
        <v>238</v>
      </c>
      <c r="F90" s="37" t="s">
        <v>329</v>
      </c>
    </row>
    <row r="91" ht="28.5" spans="1:6">
      <c r="A91" s="25">
        <v>1</v>
      </c>
      <c r="B91" s="38" t="s">
        <v>414</v>
      </c>
      <c r="C91" s="25" t="s">
        <v>331</v>
      </c>
      <c r="D91" s="39">
        <v>1</v>
      </c>
      <c r="E91" s="27">
        <v>252.06</v>
      </c>
      <c r="F91" s="28">
        <f t="shared" ref="F91:F110" si="2">TRUNC(E91*D91,2)</f>
        <v>252.06</v>
      </c>
    </row>
    <row r="92" ht="42.75" spans="1:6">
      <c r="A92" s="25">
        <v>2</v>
      </c>
      <c r="B92" s="38" t="s">
        <v>415</v>
      </c>
      <c r="C92" s="25" t="s">
        <v>331</v>
      </c>
      <c r="D92" s="39">
        <v>1</v>
      </c>
      <c r="E92" s="27">
        <v>1636.81</v>
      </c>
      <c r="F92" s="28">
        <f t="shared" si="2"/>
        <v>1636.81</v>
      </c>
    </row>
    <row r="93" ht="28.5" spans="1:6">
      <c r="A93" s="25">
        <v>3</v>
      </c>
      <c r="B93" s="38" t="s">
        <v>416</v>
      </c>
      <c r="C93" s="25" t="s">
        <v>331</v>
      </c>
      <c r="D93" s="39">
        <v>1</v>
      </c>
      <c r="E93" s="27">
        <v>211.12</v>
      </c>
      <c r="F93" s="28">
        <f t="shared" si="2"/>
        <v>211.12</v>
      </c>
    </row>
    <row r="94" spans="1:6">
      <c r="A94" s="25">
        <v>4</v>
      </c>
      <c r="B94" s="29" t="s">
        <v>417</v>
      </c>
      <c r="C94" s="25" t="s">
        <v>331</v>
      </c>
      <c r="D94" s="39">
        <v>1</v>
      </c>
      <c r="E94" s="27">
        <v>221.04</v>
      </c>
      <c r="F94" s="28">
        <f t="shared" si="2"/>
        <v>221.04</v>
      </c>
    </row>
    <row r="95" ht="28.5" spans="1:6">
      <c r="A95" s="25">
        <v>5</v>
      </c>
      <c r="B95" s="29" t="s">
        <v>418</v>
      </c>
      <c r="C95" s="25" t="s">
        <v>331</v>
      </c>
      <c r="D95" s="39">
        <v>15</v>
      </c>
      <c r="E95" s="27">
        <v>178.67</v>
      </c>
      <c r="F95" s="28">
        <f t="shared" si="2"/>
        <v>2680.05</v>
      </c>
    </row>
    <row r="96" spans="1:6">
      <c r="A96" s="25">
        <v>6</v>
      </c>
      <c r="B96" s="38" t="s">
        <v>419</v>
      </c>
      <c r="C96" s="25" t="s">
        <v>331</v>
      </c>
      <c r="D96" s="39">
        <v>1</v>
      </c>
      <c r="E96" s="27">
        <v>670.15</v>
      </c>
      <c r="F96" s="28">
        <f t="shared" si="2"/>
        <v>670.15</v>
      </c>
    </row>
    <row r="97" ht="28.5" spans="1:6">
      <c r="A97" s="25">
        <v>7</v>
      </c>
      <c r="B97" s="38" t="s">
        <v>420</v>
      </c>
      <c r="C97" s="25" t="s">
        <v>331</v>
      </c>
      <c r="D97" s="39">
        <v>2</v>
      </c>
      <c r="E97" s="27">
        <v>284</v>
      </c>
      <c r="F97" s="28">
        <f t="shared" si="2"/>
        <v>568</v>
      </c>
    </row>
    <row r="98" spans="1:6">
      <c r="A98" s="25">
        <v>8</v>
      </c>
      <c r="B98" s="38" t="s">
        <v>421</v>
      </c>
      <c r="C98" s="25" t="s">
        <v>331</v>
      </c>
      <c r="D98" s="39">
        <v>2</v>
      </c>
      <c r="E98" s="27">
        <v>295.17</v>
      </c>
      <c r="F98" s="28">
        <f t="shared" si="2"/>
        <v>590.34</v>
      </c>
    </row>
    <row r="99" spans="1:6">
      <c r="A99" s="25">
        <v>9</v>
      </c>
      <c r="B99" s="29" t="s">
        <v>422</v>
      </c>
      <c r="C99" s="25" t="s">
        <v>331</v>
      </c>
      <c r="D99" s="39">
        <v>1</v>
      </c>
      <c r="E99" s="27">
        <v>323.61</v>
      </c>
      <c r="F99" s="28">
        <f t="shared" si="2"/>
        <v>323.61</v>
      </c>
    </row>
    <row r="100" spans="1:6">
      <c r="A100" s="25">
        <v>10</v>
      </c>
      <c r="B100" s="38" t="s">
        <v>423</v>
      </c>
      <c r="C100" s="25" t="s">
        <v>331</v>
      </c>
      <c r="D100" s="39">
        <v>2</v>
      </c>
      <c r="E100" s="27">
        <v>455.33</v>
      </c>
      <c r="F100" s="28">
        <f t="shared" si="2"/>
        <v>910.66</v>
      </c>
    </row>
    <row r="101" spans="1:6">
      <c r="A101" s="25">
        <v>11</v>
      </c>
      <c r="B101" s="29" t="s">
        <v>424</v>
      </c>
      <c r="C101" s="25" t="s">
        <v>331</v>
      </c>
      <c r="D101" s="39">
        <v>2</v>
      </c>
      <c r="E101" s="27">
        <v>351</v>
      </c>
      <c r="F101" s="28">
        <f t="shared" si="2"/>
        <v>702</v>
      </c>
    </row>
    <row r="102" spans="1:6">
      <c r="A102" s="25">
        <v>12</v>
      </c>
      <c r="B102" s="29" t="s">
        <v>425</v>
      </c>
      <c r="C102" s="25" t="s">
        <v>331</v>
      </c>
      <c r="D102" s="39">
        <v>2</v>
      </c>
      <c r="E102" s="27">
        <v>270</v>
      </c>
      <c r="F102" s="28">
        <f t="shared" si="2"/>
        <v>540</v>
      </c>
    </row>
    <row r="103" ht="28.5" spans="1:6">
      <c r="A103" s="25">
        <v>13</v>
      </c>
      <c r="B103" s="38" t="s">
        <v>426</v>
      </c>
      <c r="C103" s="25" t="s">
        <v>331</v>
      </c>
      <c r="D103" s="39">
        <v>2</v>
      </c>
      <c r="E103" s="27">
        <v>457.22</v>
      </c>
      <c r="F103" s="28">
        <f t="shared" si="2"/>
        <v>914.44</v>
      </c>
    </row>
    <row r="104" spans="1:6">
      <c r="A104" s="25">
        <v>14</v>
      </c>
      <c r="B104" s="29" t="s">
        <v>427</v>
      </c>
      <c r="C104" s="25" t="s">
        <v>331</v>
      </c>
      <c r="D104" s="39">
        <v>2</v>
      </c>
      <c r="E104" s="27">
        <v>269.99</v>
      </c>
      <c r="F104" s="28">
        <f t="shared" si="2"/>
        <v>539.98</v>
      </c>
    </row>
    <row r="105" spans="1:6">
      <c r="A105" s="25">
        <v>15</v>
      </c>
      <c r="B105" s="38" t="s">
        <v>428</v>
      </c>
      <c r="C105" s="25" t="s">
        <v>331</v>
      </c>
      <c r="D105" s="39">
        <v>0</v>
      </c>
      <c r="E105" s="27">
        <v>1021.1</v>
      </c>
      <c r="F105" s="28">
        <f t="shared" si="2"/>
        <v>0</v>
      </c>
    </row>
    <row r="106" spans="1:6">
      <c r="A106" s="25">
        <v>16</v>
      </c>
      <c r="B106" s="29" t="s">
        <v>429</v>
      </c>
      <c r="C106" s="25" t="s">
        <v>331</v>
      </c>
      <c r="D106" s="39">
        <v>0</v>
      </c>
      <c r="E106" s="27">
        <v>174.28</v>
      </c>
      <c r="F106" s="28">
        <f t="shared" si="2"/>
        <v>0</v>
      </c>
    </row>
    <row r="107" spans="1:6">
      <c r="A107" s="25">
        <v>17</v>
      </c>
      <c r="B107" s="38" t="s">
        <v>430</v>
      </c>
      <c r="C107" s="25" t="s">
        <v>331</v>
      </c>
      <c r="D107" s="39">
        <v>0</v>
      </c>
      <c r="E107" s="27">
        <v>127.72</v>
      </c>
      <c r="F107" s="28">
        <f t="shared" si="2"/>
        <v>0</v>
      </c>
    </row>
    <row r="108" spans="1:6">
      <c r="A108" s="25">
        <v>18</v>
      </c>
      <c r="B108" s="29" t="s">
        <v>431</v>
      </c>
      <c r="C108" s="25" t="s">
        <v>331</v>
      </c>
      <c r="D108" s="39">
        <v>0</v>
      </c>
      <c r="E108" s="27">
        <v>241.42</v>
      </c>
      <c r="F108" s="28">
        <f t="shared" si="2"/>
        <v>0</v>
      </c>
    </row>
    <row r="109" spans="1:6">
      <c r="A109" s="25">
        <v>19</v>
      </c>
      <c r="B109" s="29" t="s">
        <v>432</v>
      </c>
      <c r="C109" s="25" t="s">
        <v>331</v>
      </c>
      <c r="D109" s="39">
        <v>1</v>
      </c>
      <c r="E109" s="27">
        <v>217.7</v>
      </c>
      <c r="F109" s="28">
        <f t="shared" si="2"/>
        <v>217.7</v>
      </c>
    </row>
    <row r="110" spans="1:6">
      <c r="A110" s="25">
        <v>20</v>
      </c>
      <c r="B110" s="29" t="s">
        <v>433</v>
      </c>
      <c r="C110" s="25" t="s">
        <v>331</v>
      </c>
      <c r="D110" s="39">
        <v>1</v>
      </c>
      <c r="E110" s="27">
        <v>170.81</v>
      </c>
      <c r="F110" s="28">
        <f t="shared" si="2"/>
        <v>170.81</v>
      </c>
    </row>
    <row r="111" spans="1:6">
      <c r="A111" s="40" t="s">
        <v>44</v>
      </c>
      <c r="B111" s="41"/>
      <c r="C111" s="42"/>
      <c r="D111" s="33"/>
      <c r="E111" s="42"/>
      <c r="F111" s="43">
        <f>SUBTOTAL(109,Table44[VALOR TOTAL])</f>
        <v>11148.77</v>
      </c>
    </row>
    <row r="112" spans="1:6">
      <c r="A112" s="44" t="s">
        <v>434</v>
      </c>
      <c r="B112" s="45"/>
      <c r="C112" s="45"/>
      <c r="D112" s="46"/>
      <c r="E112" s="47"/>
      <c r="F112" s="48">
        <f>Table44[[#Totals],[VALOR TOTAL]]*0.5%</f>
        <v>55.74385</v>
      </c>
    </row>
    <row r="113" spans="1:6">
      <c r="A113" s="49" t="s">
        <v>435</v>
      </c>
      <c r="B113" s="49"/>
      <c r="C113" s="49"/>
      <c r="D113" s="50"/>
      <c r="E113" s="49"/>
      <c r="F113" s="51">
        <f>Table44[[#Totals],[VALOR TOTAL]]*(1-0.2)/(12*8)</f>
        <v>92.9064166666667</v>
      </c>
    </row>
    <row r="114" spans="1:6">
      <c r="A114" s="49" t="s">
        <v>436</v>
      </c>
      <c r="B114" s="49"/>
      <c r="C114" s="49"/>
      <c r="D114" s="50"/>
      <c r="E114" s="49"/>
      <c r="F114" s="51">
        <f>F112+F113</f>
        <v>148.650266666667</v>
      </c>
    </row>
    <row r="115" spans="1:6">
      <c r="A115" s="49" t="s">
        <v>411</v>
      </c>
      <c r="B115" s="49"/>
      <c r="C115" s="49"/>
      <c r="D115" s="50"/>
      <c r="E115" s="49"/>
      <c r="F115" s="52">
        <v>2</v>
      </c>
    </row>
    <row r="116" spans="1:6">
      <c r="A116" s="49" t="s">
        <v>412</v>
      </c>
      <c r="B116" s="49"/>
      <c r="C116" s="49"/>
      <c r="D116" s="50"/>
      <c r="E116" s="49"/>
      <c r="F116" s="51">
        <f>TRUNC(F114/F115,2)</f>
        <v>74.32</v>
      </c>
    </row>
    <row r="117" spans="1:6">
      <c r="A117" s="53"/>
      <c r="B117" s="53"/>
      <c r="C117" s="53"/>
      <c r="D117" s="54"/>
      <c r="E117" s="53"/>
      <c r="F117" s="53"/>
    </row>
    <row r="118" spans="1:6">
      <c r="A118" s="55" t="s">
        <v>437</v>
      </c>
      <c r="B118" s="56"/>
      <c r="C118" s="56"/>
      <c r="D118" s="57"/>
      <c r="E118" s="56"/>
      <c r="F118" s="56"/>
    </row>
    <row r="119" spans="1:6">
      <c r="A119" s="56"/>
      <c r="B119" s="56"/>
      <c r="C119" s="56"/>
      <c r="D119" s="57"/>
      <c r="E119" s="56"/>
      <c r="F119" s="56"/>
    </row>
    <row r="120" spans="1:6">
      <c r="A120" s="56"/>
      <c r="B120" s="56"/>
      <c r="C120" s="56"/>
      <c r="D120" s="57"/>
      <c r="E120" s="56"/>
      <c r="F120" s="56"/>
    </row>
    <row r="121" spans="1:6">
      <c r="A121" s="56"/>
      <c r="B121" s="56"/>
      <c r="C121" s="56"/>
      <c r="D121" s="57"/>
      <c r="E121" s="56"/>
      <c r="F121" s="56"/>
    </row>
    <row r="122" spans="1:6">
      <c r="A122" s="56"/>
      <c r="B122" s="56"/>
      <c r="C122" s="56"/>
      <c r="D122" s="57"/>
      <c r="E122" s="56"/>
      <c r="F122" s="56"/>
    </row>
    <row r="123" spans="1:6">
      <c r="A123" s="56"/>
      <c r="B123" s="56"/>
      <c r="C123" s="56"/>
      <c r="D123" s="57"/>
      <c r="E123" s="56"/>
      <c r="F123" s="56"/>
    </row>
    <row r="124" spans="1:6">
      <c r="A124" s="56"/>
      <c r="B124" s="56"/>
      <c r="C124" s="56"/>
      <c r="D124" s="57"/>
      <c r="E124" s="56"/>
      <c r="F124" s="56"/>
    </row>
    <row r="125" spans="1:6">
      <c r="A125" s="56"/>
      <c r="B125" s="56"/>
      <c r="C125" s="56"/>
      <c r="D125" s="57"/>
      <c r="E125" s="56"/>
      <c r="F125" s="56"/>
    </row>
    <row r="126" spans="1:6">
      <c r="A126" s="56"/>
      <c r="B126" s="56"/>
      <c r="C126" s="56"/>
      <c r="D126" s="57"/>
      <c r="E126" s="56"/>
      <c r="F126" s="56"/>
    </row>
    <row r="127" spans="1:6">
      <c r="A127" s="56"/>
      <c r="B127" s="56"/>
      <c r="C127" s="56"/>
      <c r="D127" s="57"/>
      <c r="E127" s="56"/>
      <c r="F127" s="56"/>
    </row>
  </sheetData>
  <mergeCells count="14">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18:F127"/>
  </mergeCells>
  <pageMargins left="0.75" right="0.75" top="1" bottom="1" header="0.5" footer="0.5"/>
  <pageSetup paperSize="9" orientation="portrait"/>
  <headerFooter/>
  <tableParts count="1">
    <tablePart r:id="rId1"/>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F26" sqref="F26"/>
    </sheetView>
  </sheetViews>
  <sheetFormatPr defaultColWidth="9.14285714285714" defaultRowHeight="15" outlineLevelCol="5"/>
  <cols>
    <col min="2" max="2" width="31" customWidth="1"/>
    <col min="3" max="3" width="14.1428571428571" customWidth="1"/>
    <col min="4" max="4" width="17.8571428571429" customWidth="1"/>
    <col min="5" max="5" width="13.2857142857143" customWidth="1"/>
    <col min="6" max="6" width="14.4285714285714" customWidth="1"/>
  </cols>
  <sheetData>
    <row r="1" spans="1:6">
      <c r="A1" s="11" t="s">
        <v>438</v>
      </c>
      <c r="B1" s="11"/>
      <c r="C1" s="11"/>
      <c r="D1" s="11"/>
      <c r="E1" s="11"/>
      <c r="F1" s="11"/>
    </row>
    <row r="2" spans="1:6">
      <c r="A2" s="12" t="s">
        <v>259</v>
      </c>
      <c r="B2" s="12" t="s">
        <v>261</v>
      </c>
      <c r="C2" s="12" t="s">
        <v>262</v>
      </c>
      <c r="D2" s="12" t="s">
        <v>264</v>
      </c>
      <c r="E2" s="12" t="s">
        <v>238</v>
      </c>
      <c r="F2" s="12" t="s">
        <v>329</v>
      </c>
    </row>
    <row r="3" spans="1:6">
      <c r="A3" s="12"/>
      <c r="B3" s="12"/>
      <c r="C3" s="12"/>
      <c r="D3" s="12"/>
      <c r="E3" s="12"/>
      <c r="F3" s="12"/>
    </row>
    <row r="4" spans="1:6">
      <c r="A4" s="12"/>
      <c r="B4" s="12"/>
      <c r="C4" s="12"/>
      <c r="D4" s="12"/>
      <c r="E4" s="12"/>
      <c r="F4" s="12"/>
    </row>
    <row r="5" spans="1:4">
      <c r="A5" s="13">
        <v>1</v>
      </c>
      <c r="B5" s="14" t="s">
        <v>439</v>
      </c>
      <c r="C5" s="14"/>
      <c r="D5" s="14"/>
    </row>
    <row r="6" ht="30" spans="1:6">
      <c r="A6" s="13"/>
      <c r="B6" s="15" t="s">
        <v>440</v>
      </c>
      <c r="C6" s="16" t="s">
        <v>269</v>
      </c>
      <c r="D6" s="16">
        <v>1</v>
      </c>
      <c r="E6" s="17">
        <v>32.87</v>
      </c>
      <c r="F6" s="17">
        <f t="shared" ref="F6:F18" si="0">TRUNC(E6*D6,2)</f>
        <v>32.87</v>
      </c>
    </row>
    <row r="7" spans="1:6">
      <c r="A7" s="13"/>
      <c r="B7" s="15" t="s">
        <v>441</v>
      </c>
      <c r="C7" s="16" t="s">
        <v>269</v>
      </c>
      <c r="D7" s="16">
        <v>1</v>
      </c>
      <c r="E7" s="17">
        <v>14.55</v>
      </c>
      <c r="F7" s="17">
        <f t="shared" si="0"/>
        <v>14.55</v>
      </c>
    </row>
    <row r="8" ht="30" spans="1:6">
      <c r="A8" s="13"/>
      <c r="B8" s="15" t="s">
        <v>442</v>
      </c>
      <c r="C8" s="16" t="s">
        <v>443</v>
      </c>
      <c r="D8" s="16">
        <v>1</v>
      </c>
      <c r="E8" s="17">
        <v>73.39</v>
      </c>
      <c r="F8" s="17">
        <f t="shared" si="0"/>
        <v>73.39</v>
      </c>
    </row>
    <row r="9" ht="30" spans="1:6">
      <c r="A9" s="13"/>
      <c r="B9" s="15" t="s">
        <v>444</v>
      </c>
      <c r="C9" s="16" t="s">
        <v>443</v>
      </c>
      <c r="D9" s="16">
        <v>1</v>
      </c>
      <c r="E9" s="17">
        <v>17.89</v>
      </c>
      <c r="F9" s="17">
        <f t="shared" si="0"/>
        <v>17.89</v>
      </c>
    </row>
    <row r="10" spans="1:6">
      <c r="A10" s="13"/>
      <c r="B10" s="15" t="s">
        <v>445</v>
      </c>
      <c r="C10" s="16" t="s">
        <v>446</v>
      </c>
      <c r="D10" s="16">
        <v>10</v>
      </c>
      <c r="E10" s="17">
        <v>1.5</v>
      </c>
      <c r="F10" s="17">
        <f t="shared" si="0"/>
        <v>15</v>
      </c>
    </row>
    <row r="11" spans="1:6">
      <c r="A11" s="13"/>
      <c r="B11" s="15" t="s">
        <v>447</v>
      </c>
      <c r="C11" s="16" t="s">
        <v>448</v>
      </c>
      <c r="D11" s="16">
        <v>2</v>
      </c>
      <c r="E11" s="17">
        <v>9.44</v>
      </c>
      <c r="F11" s="17">
        <f t="shared" si="0"/>
        <v>18.88</v>
      </c>
    </row>
    <row r="12" spans="1:6">
      <c r="A12" s="13"/>
      <c r="B12" s="15" t="s">
        <v>449</v>
      </c>
      <c r="C12" s="16" t="s">
        <v>448</v>
      </c>
      <c r="D12" s="16">
        <v>5</v>
      </c>
      <c r="E12" s="17">
        <v>0.81</v>
      </c>
      <c r="F12" s="17">
        <f t="shared" si="0"/>
        <v>4.05</v>
      </c>
    </row>
    <row r="13" spans="1:6">
      <c r="A13" s="13"/>
      <c r="B13" s="15" t="s">
        <v>450</v>
      </c>
      <c r="C13" s="16" t="s">
        <v>451</v>
      </c>
      <c r="D13" s="16">
        <v>2</v>
      </c>
      <c r="E13" s="17">
        <v>3.4</v>
      </c>
      <c r="F13" s="17">
        <f t="shared" si="0"/>
        <v>6.8</v>
      </c>
    </row>
    <row r="14" spans="1:6">
      <c r="A14" s="13"/>
      <c r="B14" s="15" t="s">
        <v>452</v>
      </c>
      <c r="C14" s="16" t="s">
        <v>451</v>
      </c>
      <c r="D14" s="16">
        <v>2</v>
      </c>
      <c r="E14" s="17">
        <v>3.35</v>
      </c>
      <c r="F14" s="17">
        <f t="shared" si="0"/>
        <v>6.7</v>
      </c>
    </row>
    <row r="15" ht="45" spans="1:6">
      <c r="A15" s="16">
        <v>2</v>
      </c>
      <c r="B15" s="15" t="s">
        <v>453</v>
      </c>
      <c r="C15" s="16" t="s">
        <v>448</v>
      </c>
      <c r="D15" s="16">
        <v>1</v>
      </c>
      <c r="E15" s="17">
        <v>356</v>
      </c>
      <c r="F15" s="17">
        <f t="shared" si="0"/>
        <v>356</v>
      </c>
    </row>
    <row r="16" ht="30" spans="1:6">
      <c r="A16" s="16">
        <v>3</v>
      </c>
      <c r="B16" s="15" t="s">
        <v>454</v>
      </c>
      <c r="C16" s="16" t="s">
        <v>277</v>
      </c>
      <c r="D16" s="16">
        <v>1</v>
      </c>
      <c r="E16" s="17">
        <v>887.88</v>
      </c>
      <c r="F16" s="17">
        <f t="shared" si="0"/>
        <v>887.88</v>
      </c>
    </row>
    <row r="17" ht="30" spans="1:6">
      <c r="A17" s="16">
        <v>4</v>
      </c>
      <c r="B17" s="15" t="s">
        <v>455</v>
      </c>
      <c r="C17" s="16" t="s">
        <v>269</v>
      </c>
      <c r="D17" s="16">
        <v>3</v>
      </c>
      <c r="E17" s="17">
        <v>21.55</v>
      </c>
      <c r="F17" s="17">
        <f t="shared" si="0"/>
        <v>64.65</v>
      </c>
    </row>
    <row r="18" ht="30" spans="1:6">
      <c r="A18" s="16">
        <v>5</v>
      </c>
      <c r="B18" s="15" t="s">
        <v>456</v>
      </c>
      <c r="C18" s="16" t="s">
        <v>269</v>
      </c>
      <c r="D18" s="16">
        <v>6</v>
      </c>
      <c r="E18" s="17">
        <v>37.5</v>
      </c>
      <c r="F18" s="17">
        <f t="shared" si="0"/>
        <v>225</v>
      </c>
    </row>
    <row r="19" spans="1:6">
      <c r="A19" s="18" t="s">
        <v>329</v>
      </c>
      <c r="B19" s="18"/>
      <c r="C19" s="18"/>
      <c r="D19" s="18"/>
      <c r="E19" s="19">
        <f>TRUNC(SUM(F6:F18),2)</f>
        <v>1723.66</v>
      </c>
      <c r="F19" s="19"/>
    </row>
    <row r="20" spans="1:6">
      <c r="A20" s="11" t="s">
        <v>457</v>
      </c>
      <c r="B20" s="11"/>
      <c r="C20" s="11"/>
      <c r="D20" s="11"/>
      <c r="E20" s="20">
        <v>8</v>
      </c>
      <c r="F20" s="20"/>
    </row>
    <row r="21" spans="1:6">
      <c r="A21" s="11" t="s">
        <v>412</v>
      </c>
      <c r="B21" s="11"/>
      <c r="C21" s="11"/>
      <c r="D21" s="11"/>
      <c r="E21" s="21">
        <f>TRUNC((E19/E20)/12,2)</f>
        <v>17.95</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abSelected="1" workbookViewId="0">
      <selection activeCell="B8" sqref="B8"/>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ht="15.75" spans="1:7">
      <c r="A1" s="1" t="s">
        <v>458</v>
      </c>
      <c r="B1" s="2"/>
      <c r="C1" s="2"/>
      <c r="D1" s="2"/>
      <c r="E1" s="2"/>
      <c r="F1" s="2"/>
      <c r="G1" s="3"/>
    </row>
    <row r="2" ht="60.75" spans="1:7">
      <c r="A2" s="4" t="s">
        <v>2</v>
      </c>
      <c r="B2" s="4" t="s">
        <v>3</v>
      </c>
      <c r="C2" s="4" t="s">
        <v>269</v>
      </c>
      <c r="D2" s="4" t="s">
        <v>459</v>
      </c>
      <c r="E2" s="4" t="s">
        <v>460</v>
      </c>
      <c r="F2" s="4" t="s">
        <v>461</v>
      </c>
      <c r="G2" s="4" t="s">
        <v>462</v>
      </c>
    </row>
    <row r="3" ht="90" spans="1:7">
      <c r="A3" s="5">
        <v>1</v>
      </c>
      <c r="B3" s="6" t="s">
        <v>463</v>
      </c>
      <c r="C3" s="4" t="s">
        <v>464</v>
      </c>
      <c r="D3" s="5">
        <v>3</v>
      </c>
      <c r="E3" s="5">
        <v>12</v>
      </c>
      <c r="F3" s="7">
        <f>'Auxiliar Administrativo'!D147</f>
        <v>2971.7</v>
      </c>
      <c r="G3" s="7">
        <f>(D3*F3)*(E3)</f>
        <v>106981.2</v>
      </c>
    </row>
    <row r="4" ht="75" spans="1:7">
      <c r="A4" s="5">
        <v>2</v>
      </c>
      <c r="B4" s="6" t="s">
        <v>465</v>
      </c>
      <c r="C4" s="4" t="s">
        <v>464</v>
      </c>
      <c r="D4" s="5">
        <v>1</v>
      </c>
      <c r="E4" s="5">
        <v>12</v>
      </c>
      <c r="F4" s="7">
        <f>'Copeiro (a)'!D147</f>
        <v>2876.48</v>
      </c>
      <c r="G4" s="7">
        <f>(D4*F4)*(E4)</f>
        <v>34517.76</v>
      </c>
    </row>
    <row r="5" ht="90" spans="1:7">
      <c r="A5" s="5">
        <v>3</v>
      </c>
      <c r="B5" s="6" t="s">
        <v>466</v>
      </c>
      <c r="C5" s="4" t="s">
        <v>464</v>
      </c>
      <c r="D5" s="5">
        <v>2</v>
      </c>
      <c r="E5" s="5">
        <v>12</v>
      </c>
      <c r="F5" s="7">
        <f>'Motorista Interestadual'!D147</f>
        <v>6402.86</v>
      </c>
      <c r="G5" s="7">
        <f>(D5*F5)*(E5)</f>
        <v>153668.64</v>
      </c>
    </row>
    <row r="6" ht="75" spans="1:7">
      <c r="A6" s="5">
        <v>4</v>
      </c>
      <c r="B6" s="6" t="s">
        <v>467</v>
      </c>
      <c r="C6" s="4" t="s">
        <v>464</v>
      </c>
      <c r="D6" s="5">
        <v>1</v>
      </c>
      <c r="E6" s="5">
        <v>12</v>
      </c>
      <c r="F6" s="7">
        <f>Eletricista!D147</f>
        <v>5324.39</v>
      </c>
      <c r="G6" s="7">
        <f>(D6*F6)*(E6)</f>
        <v>63892.68</v>
      </c>
    </row>
    <row r="7" ht="90" spans="1:7">
      <c r="A7" s="5">
        <v>5</v>
      </c>
      <c r="B7" s="6" t="s">
        <v>468</v>
      </c>
      <c r="C7" s="4" t="s">
        <v>464</v>
      </c>
      <c r="D7" s="5">
        <v>1</v>
      </c>
      <c r="E7" s="5">
        <v>12</v>
      </c>
      <c r="F7" s="7">
        <f>'Auxiliar de Manutenção Predial'!D147</f>
        <v>4472.73</v>
      </c>
      <c r="G7" s="7">
        <f>(D7*F7)*(E7)</f>
        <v>53672.76</v>
      </c>
    </row>
    <row r="8" ht="30" spans="1:7">
      <c r="A8" s="5">
        <v>6</v>
      </c>
      <c r="B8" s="6" t="s">
        <v>469</v>
      </c>
      <c r="C8" s="4" t="s">
        <v>464</v>
      </c>
      <c r="D8" s="5">
        <v>83</v>
      </c>
      <c r="E8" s="5">
        <v>12</v>
      </c>
      <c r="F8" s="7">
        <f>Diárias!E19</f>
        <v>190.08</v>
      </c>
      <c r="G8" s="7">
        <f>(D8*F8)</f>
        <v>15776.64</v>
      </c>
    </row>
    <row r="9" spans="1:7">
      <c r="A9" s="8" t="s">
        <v>190</v>
      </c>
      <c r="B9" s="8"/>
      <c r="C9" s="8"/>
      <c r="D9" s="8"/>
      <c r="E9" s="8"/>
      <c r="F9" s="8"/>
      <c r="G9" s="9">
        <f>SUM(G3:G8)</f>
        <v>428509.68</v>
      </c>
    </row>
    <row r="10" spans="1:7">
      <c r="A10" s="10"/>
      <c r="B10" s="10"/>
      <c r="C10" s="10"/>
      <c r="D10" s="10"/>
      <c r="E10" s="10"/>
      <c r="F10" s="10"/>
      <c r="G10" s="10"/>
    </row>
    <row r="11" spans="1:7">
      <c r="A11" s="8"/>
      <c r="B11" s="8"/>
      <c r="C11" s="8"/>
      <c r="D11" s="8"/>
      <c r="E11" s="8"/>
      <c r="F11" s="8"/>
      <c r="G11" s="8"/>
    </row>
    <row r="12" spans="1:7">
      <c r="A12" s="8"/>
      <c r="B12" s="8"/>
      <c r="C12" s="8"/>
      <c r="D12" s="8"/>
      <c r="E12" s="8"/>
      <c r="F12" s="8"/>
      <c r="G12"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4" t="s">
        <v>0</v>
      </c>
      <c r="B1" s="304"/>
      <c r="C1" s="304"/>
      <c r="D1" s="304"/>
      <c r="F1" s="250" t="s">
        <v>1</v>
      </c>
      <c r="G1" s="250"/>
      <c r="H1" s="260"/>
      <c r="I1" s="260"/>
      <c r="J1" s="260"/>
      <c r="K1" s="260"/>
      <c r="L1" s="260"/>
      <c r="M1" s="260"/>
      <c r="N1" s="260"/>
      <c r="O1" s="260"/>
      <c r="P1" s="260"/>
      <c r="Q1" s="260"/>
      <c r="R1" s="260"/>
      <c r="S1" s="260"/>
      <c r="T1" s="260"/>
      <c r="U1" s="260"/>
    </row>
    <row r="2" spans="1:21">
      <c r="A2" s="251" t="s">
        <v>2</v>
      </c>
      <c r="B2" t="s">
        <v>3</v>
      </c>
      <c r="C2" s="251" t="s">
        <v>4</v>
      </c>
      <c r="D2" s="251" t="s">
        <v>5</v>
      </c>
      <c r="F2" s="255" t="s">
        <v>3</v>
      </c>
      <c r="G2" s="255" t="s">
        <v>5</v>
      </c>
      <c r="H2" s="260"/>
      <c r="I2" s="260"/>
      <c r="J2" s="260"/>
      <c r="K2" s="260"/>
      <c r="L2" s="260"/>
      <c r="M2" s="260"/>
      <c r="N2" s="260"/>
      <c r="O2" s="260"/>
      <c r="P2" s="260"/>
      <c r="Q2" s="260"/>
      <c r="R2" s="260"/>
      <c r="S2" s="260"/>
      <c r="T2" s="260"/>
      <c r="U2" s="260"/>
    </row>
    <row r="3" spans="1:21">
      <c r="A3" s="251">
        <v>1</v>
      </c>
      <c r="B3" t="s">
        <v>6</v>
      </c>
      <c r="C3" s="251"/>
      <c r="D3" s="251" t="s">
        <v>7</v>
      </c>
      <c r="F3" t="s">
        <v>8</v>
      </c>
      <c r="G3" s="305">
        <v>0</v>
      </c>
      <c r="H3" s="260"/>
      <c r="I3" s="260"/>
      <c r="J3" s="260"/>
      <c r="K3" s="260"/>
      <c r="L3" s="260"/>
      <c r="M3" s="260"/>
      <c r="N3" s="260"/>
      <c r="O3" s="260"/>
      <c r="P3" s="260"/>
      <c r="Q3" s="260"/>
      <c r="R3" s="260"/>
      <c r="S3" s="260"/>
      <c r="T3" s="260"/>
      <c r="U3" s="260"/>
    </row>
    <row r="4" spans="1:21">
      <c r="A4" s="251">
        <v>2</v>
      </c>
      <c r="B4" t="s">
        <v>9</v>
      </c>
      <c r="C4" s="251"/>
      <c r="D4" s="251" t="s">
        <v>10</v>
      </c>
      <c r="F4" t="s">
        <v>11</v>
      </c>
      <c r="G4" s="305">
        <v>12</v>
      </c>
      <c r="H4" s="260"/>
      <c r="I4" s="260"/>
      <c r="J4" s="260"/>
      <c r="K4" s="260"/>
      <c r="L4" s="260"/>
      <c r="M4" s="260"/>
      <c r="N4" s="260"/>
      <c r="O4" s="260"/>
      <c r="P4" s="260"/>
      <c r="Q4" s="260"/>
      <c r="R4" s="260"/>
      <c r="S4" s="260"/>
      <c r="T4" s="260"/>
      <c r="U4" s="260"/>
    </row>
    <row r="5" spans="1:21">
      <c r="A5" s="251">
        <v>3</v>
      </c>
      <c r="B5" t="s">
        <v>12</v>
      </c>
      <c r="C5" s="251" t="s">
        <v>13</v>
      </c>
      <c r="D5" s="306">
        <v>998</v>
      </c>
      <c r="F5" t="s">
        <v>14</v>
      </c>
      <c r="G5" s="252">
        <v>22</v>
      </c>
      <c r="H5" s="260"/>
      <c r="I5" s="260"/>
      <c r="J5" s="260"/>
      <c r="K5" s="260"/>
      <c r="L5" s="260"/>
      <c r="M5" s="260"/>
      <c r="N5" s="260"/>
      <c r="O5" s="260"/>
      <c r="P5" s="260"/>
      <c r="Q5" s="260"/>
      <c r="R5" s="260"/>
      <c r="S5" s="260"/>
      <c r="T5" s="260"/>
      <c r="U5" s="260"/>
    </row>
    <row r="6" spans="1:21">
      <c r="A6" s="251">
        <v>4</v>
      </c>
      <c r="B6" t="s">
        <v>15</v>
      </c>
      <c r="C6" s="251" t="s">
        <v>16</v>
      </c>
      <c r="D6" s="251" t="s">
        <v>17</v>
      </c>
      <c r="F6" t="s">
        <v>18</v>
      </c>
      <c r="G6" s="307">
        <v>0.03</v>
      </c>
      <c r="H6" s="260"/>
      <c r="I6" s="260"/>
      <c r="J6" s="260"/>
      <c r="K6" s="260"/>
      <c r="L6" s="260"/>
      <c r="M6" s="260"/>
      <c r="N6" s="260"/>
      <c r="O6" s="260"/>
      <c r="P6" s="260"/>
      <c r="Q6" s="260"/>
      <c r="R6" s="260"/>
      <c r="S6" s="260"/>
      <c r="T6" s="260"/>
      <c r="U6" s="260"/>
    </row>
    <row r="7" spans="1:21">
      <c r="A7" s="251">
        <v>5</v>
      </c>
      <c r="B7" t="s">
        <v>19</v>
      </c>
      <c r="C7" s="251"/>
      <c r="D7" s="251" t="s">
        <v>20</v>
      </c>
      <c r="H7" s="260"/>
      <c r="I7" s="260"/>
      <c r="J7" s="260"/>
      <c r="K7" s="260"/>
      <c r="L7" s="260"/>
      <c r="M7" s="260"/>
      <c r="N7" s="260"/>
      <c r="O7" s="260"/>
      <c r="P7" s="260"/>
      <c r="Q7" s="260"/>
      <c r="R7" s="260"/>
      <c r="S7" s="260"/>
      <c r="T7" s="260"/>
      <c r="U7" s="260"/>
    </row>
    <row r="8" spans="6:21">
      <c r="F8" s="250" t="s">
        <v>21</v>
      </c>
      <c r="G8" s="250"/>
      <c r="H8" s="260"/>
      <c r="I8" s="260"/>
      <c r="J8" s="260"/>
      <c r="K8" s="260"/>
      <c r="L8" s="260"/>
      <c r="M8" s="260"/>
      <c r="N8" s="260"/>
      <c r="O8" s="260"/>
      <c r="P8" s="260"/>
      <c r="Q8" s="260"/>
      <c r="R8" s="260"/>
      <c r="S8" s="260"/>
      <c r="T8" s="260"/>
      <c r="U8" s="260"/>
    </row>
    <row r="9" spans="1:21">
      <c r="A9" s="234" t="s">
        <v>22</v>
      </c>
      <c r="B9" s="234"/>
      <c r="C9" s="234"/>
      <c r="D9" s="234"/>
      <c r="F9" s="255" t="s">
        <v>23</v>
      </c>
      <c r="G9" s="255" t="s">
        <v>24</v>
      </c>
      <c r="H9" s="260"/>
      <c r="I9" s="260"/>
      <c r="J9" s="260"/>
      <c r="K9" s="260"/>
      <c r="L9" s="260"/>
      <c r="M9" s="260"/>
      <c r="N9" s="260"/>
      <c r="O9" s="260"/>
      <c r="P9" s="260"/>
      <c r="Q9" s="260"/>
      <c r="R9" s="260"/>
      <c r="S9" s="260"/>
      <c r="T9" s="260"/>
      <c r="U9" s="260"/>
    </row>
    <row r="10" spans="1:21">
      <c r="A10" s="251" t="s">
        <v>25</v>
      </c>
      <c r="B10" s="255" t="s">
        <v>26</v>
      </c>
      <c r="C10" s="251" t="s">
        <v>4</v>
      </c>
      <c r="D10" s="251" t="s">
        <v>5</v>
      </c>
      <c r="F10" t="s">
        <v>27</v>
      </c>
      <c r="G10" s="256">
        <v>0.4337</v>
      </c>
      <c r="H10" s="260"/>
      <c r="I10" s="260"/>
      <c r="J10" s="260"/>
      <c r="K10" s="260"/>
      <c r="L10" s="260"/>
      <c r="M10" s="260"/>
      <c r="N10" s="260"/>
      <c r="O10" s="260"/>
      <c r="P10" s="260"/>
      <c r="Q10" s="260"/>
      <c r="R10" s="260"/>
      <c r="S10" s="260"/>
      <c r="T10" s="260"/>
      <c r="U10" s="260"/>
    </row>
    <row r="11" spans="1:21">
      <c r="A11" s="251" t="s">
        <v>28</v>
      </c>
      <c r="B11" t="s">
        <v>29</v>
      </c>
      <c r="C11" s="251"/>
      <c r="D11" s="257">
        <f>Salário_Normativo_da_Categoria_Profissional</f>
        <v>998</v>
      </c>
      <c r="F11" t="s">
        <v>30</v>
      </c>
      <c r="G11" s="256">
        <v>0.4337</v>
      </c>
      <c r="H11" s="260"/>
      <c r="I11" s="260"/>
      <c r="J11" s="260"/>
      <c r="K11" s="260"/>
      <c r="L11" s="260"/>
      <c r="M11" s="260"/>
      <c r="N11" s="260"/>
      <c r="O11" s="260"/>
      <c r="P11" s="260"/>
      <c r="Q11" s="260"/>
      <c r="R11" s="260"/>
      <c r="S11" s="260"/>
      <c r="T11" s="260"/>
      <c r="U11" s="260"/>
    </row>
    <row r="12" spans="1:21">
      <c r="A12" s="251" t="s">
        <v>31</v>
      </c>
      <c r="B12" t="s">
        <v>32</v>
      </c>
      <c r="C12" s="251"/>
      <c r="D12" s="257"/>
      <c r="F12" t="s">
        <v>33</v>
      </c>
      <c r="G12" s="256">
        <v>0.0218</v>
      </c>
      <c r="H12" s="260"/>
      <c r="I12" s="260"/>
      <c r="J12" s="260"/>
      <c r="K12" s="260"/>
      <c r="L12" s="260"/>
      <c r="M12" s="260"/>
      <c r="N12" s="260"/>
      <c r="O12" s="260"/>
      <c r="P12" s="260"/>
      <c r="Q12" s="260"/>
      <c r="R12" s="260"/>
      <c r="S12" s="260"/>
      <c r="T12" s="260"/>
      <c r="U12" s="260"/>
    </row>
    <row r="13" spans="1:21">
      <c r="A13" s="251" t="s">
        <v>34</v>
      </c>
      <c r="B13" t="s">
        <v>35</v>
      </c>
      <c r="C13" s="251"/>
      <c r="D13" s="257"/>
      <c r="H13" s="260"/>
      <c r="I13" s="260"/>
      <c r="J13" s="260"/>
      <c r="K13" s="260"/>
      <c r="L13" s="260"/>
      <c r="M13" s="260"/>
      <c r="N13" s="260"/>
      <c r="O13" s="260"/>
      <c r="P13" s="260"/>
      <c r="Q13" s="260"/>
      <c r="R13" s="260"/>
      <c r="S13" s="260"/>
      <c r="T13" s="260"/>
      <c r="U13" s="260"/>
    </row>
    <row r="14" spans="1:21">
      <c r="A14" s="251" t="s">
        <v>36</v>
      </c>
      <c r="B14" t="s">
        <v>37</v>
      </c>
      <c r="C14" s="251"/>
      <c r="D14" s="257"/>
      <c r="F14" s="250" t="s">
        <v>38</v>
      </c>
      <c r="G14" s="250"/>
      <c r="H14" s="260"/>
      <c r="I14" s="260"/>
      <c r="J14" s="260"/>
      <c r="K14" s="260"/>
      <c r="L14" s="260"/>
      <c r="M14" s="260"/>
      <c r="N14" s="260"/>
      <c r="O14" s="260"/>
      <c r="P14" s="260"/>
      <c r="Q14" s="260"/>
      <c r="R14" s="260"/>
      <c r="S14" s="260"/>
      <c r="T14" s="260"/>
      <c r="U14" s="260"/>
    </row>
    <row r="15" spans="1:21">
      <c r="A15" s="251" t="s">
        <v>39</v>
      </c>
      <c r="B15" t="s">
        <v>40</v>
      </c>
      <c r="C15" s="251"/>
      <c r="D15" s="257"/>
      <c r="F15" s="308" t="s">
        <v>3</v>
      </c>
      <c r="G15" s="308" t="s">
        <v>24</v>
      </c>
      <c r="H15" s="260"/>
      <c r="I15" s="260"/>
      <c r="J15" s="260"/>
      <c r="K15" s="260"/>
      <c r="L15" s="260"/>
      <c r="M15" s="260"/>
      <c r="N15" s="260"/>
      <c r="O15" s="260"/>
      <c r="P15" s="260"/>
      <c r="Q15" s="260"/>
      <c r="R15" s="260"/>
      <c r="S15" s="260"/>
      <c r="T15" s="260"/>
      <c r="U15" s="260"/>
    </row>
    <row r="16" spans="1:21">
      <c r="A16" s="251" t="s">
        <v>41</v>
      </c>
      <c r="B16" t="s">
        <v>42</v>
      </c>
      <c r="C16" s="251"/>
      <c r="D16" s="257"/>
      <c r="F16" s="260" t="s">
        <v>43</v>
      </c>
      <c r="G16" s="309">
        <v>0.0471</v>
      </c>
      <c r="H16" s="260"/>
      <c r="I16" s="260"/>
      <c r="J16" s="260"/>
      <c r="K16" s="260"/>
      <c r="L16" s="260"/>
      <c r="M16" s="260"/>
      <c r="N16" s="260"/>
      <c r="O16" s="260"/>
      <c r="P16" s="260"/>
      <c r="Q16" s="260"/>
      <c r="R16" s="260"/>
      <c r="S16" s="260"/>
      <c r="T16" s="260"/>
      <c r="U16" s="260"/>
    </row>
    <row r="17" spans="1:21">
      <c r="A17" s="251" t="s">
        <v>44</v>
      </c>
      <c r="C17" s="251"/>
      <c r="D17" s="257">
        <v>998</v>
      </c>
      <c r="F17" s="260" t="s">
        <v>45</v>
      </c>
      <c r="G17" s="309">
        <v>0.0467</v>
      </c>
      <c r="H17" s="260"/>
      <c r="I17" s="260"/>
      <c r="J17" s="260"/>
      <c r="K17" s="260"/>
      <c r="L17" s="260"/>
      <c r="M17" s="260"/>
      <c r="N17" s="260"/>
      <c r="O17" s="260"/>
      <c r="P17" s="260"/>
      <c r="Q17" s="260"/>
      <c r="R17" s="260"/>
      <c r="S17" s="260"/>
      <c r="T17" s="260"/>
      <c r="U17" s="260"/>
    </row>
    <row r="18" spans="6:21">
      <c r="F18" s="260" t="s">
        <v>46</v>
      </c>
      <c r="G18" s="310">
        <v>0.0165</v>
      </c>
      <c r="H18" s="260"/>
      <c r="I18" s="260"/>
      <c r="J18" s="260"/>
      <c r="K18" s="260"/>
      <c r="L18" s="260"/>
      <c r="M18" s="260"/>
      <c r="N18" s="260"/>
      <c r="O18" s="260"/>
      <c r="P18" s="260"/>
      <c r="Q18" s="260"/>
      <c r="R18" s="260"/>
      <c r="S18" s="260"/>
      <c r="T18" s="260"/>
      <c r="U18" s="260"/>
    </row>
    <row r="19" spans="1:21">
      <c r="A19" s="258" t="s">
        <v>47</v>
      </c>
      <c r="B19" s="258"/>
      <c r="C19" s="258"/>
      <c r="D19" s="258"/>
      <c r="F19" s="260" t="s">
        <v>48</v>
      </c>
      <c r="G19" s="310">
        <v>0.076</v>
      </c>
      <c r="H19" s="260"/>
      <c r="I19" s="260"/>
      <c r="J19" s="260"/>
      <c r="K19" s="260"/>
      <c r="L19" s="260"/>
      <c r="M19" s="260"/>
      <c r="N19" s="260"/>
      <c r="O19" s="260"/>
      <c r="P19" s="260"/>
      <c r="Q19" s="260"/>
      <c r="R19" s="260"/>
      <c r="S19" s="260"/>
      <c r="T19" s="260"/>
      <c r="U19" s="260"/>
    </row>
    <row r="20" spans="1:21">
      <c r="A20" s="250" t="s">
        <v>49</v>
      </c>
      <c r="B20" s="250"/>
      <c r="C20" s="250"/>
      <c r="D20" s="250"/>
      <c r="F20" s="260" t="s">
        <v>50</v>
      </c>
      <c r="G20" s="310">
        <v>0.05</v>
      </c>
      <c r="H20" s="260"/>
      <c r="I20" s="260"/>
      <c r="J20" s="260"/>
      <c r="K20" s="260"/>
      <c r="L20" s="260"/>
      <c r="M20" s="260"/>
      <c r="N20" s="260"/>
      <c r="O20" s="260"/>
      <c r="P20" s="260"/>
      <c r="Q20" s="260"/>
      <c r="R20" s="260"/>
      <c r="S20" s="260"/>
      <c r="T20" s="260"/>
      <c r="U20" s="260"/>
    </row>
    <row r="21" spans="1:21">
      <c r="A21" s="251" t="s">
        <v>51</v>
      </c>
      <c r="B21" s="255" t="s">
        <v>52</v>
      </c>
      <c r="C21" s="251" t="s">
        <v>4</v>
      </c>
      <c r="D21" s="251" t="s">
        <v>5</v>
      </c>
      <c r="F21" s="260"/>
      <c r="G21" s="260"/>
      <c r="H21" s="260"/>
      <c r="I21" s="260"/>
      <c r="J21" s="260"/>
      <c r="K21" s="260"/>
      <c r="L21" s="260"/>
      <c r="M21" s="260"/>
      <c r="N21" s="260"/>
      <c r="O21" s="260"/>
      <c r="P21" s="260"/>
      <c r="Q21" s="260"/>
      <c r="R21" s="260"/>
      <c r="S21" s="260"/>
      <c r="T21" s="260"/>
      <c r="U21" s="260"/>
    </row>
    <row r="22" spans="1:21">
      <c r="A22" s="251" t="s">
        <v>28</v>
      </c>
      <c r="B22" t="s">
        <v>53</v>
      </c>
      <c r="D22" s="257">
        <v>83.1666666666667</v>
      </c>
      <c r="F22" s="260"/>
      <c r="G22" s="260"/>
      <c r="H22" s="260"/>
      <c r="I22" s="260"/>
      <c r="J22" s="260"/>
      <c r="K22" s="260"/>
      <c r="L22" s="260"/>
      <c r="M22" s="260"/>
      <c r="N22" s="260"/>
      <c r="O22" s="260"/>
      <c r="P22" s="260"/>
      <c r="Q22" s="260"/>
      <c r="R22" s="260"/>
      <c r="S22" s="260"/>
      <c r="T22" s="260"/>
      <c r="U22" s="260"/>
    </row>
    <row r="23" spans="1:21">
      <c r="A23" s="251" t="s">
        <v>31</v>
      </c>
      <c r="B23" t="s">
        <v>54</v>
      </c>
      <c r="D23" s="257">
        <v>110.888888888889</v>
      </c>
      <c r="F23" s="260"/>
      <c r="G23" s="260"/>
      <c r="H23" s="260"/>
      <c r="I23" s="260"/>
      <c r="J23" s="260"/>
      <c r="K23" s="260"/>
      <c r="L23" s="260"/>
      <c r="M23" s="260"/>
      <c r="N23" s="260"/>
      <c r="O23" s="260"/>
      <c r="P23" s="260"/>
      <c r="Q23" s="260"/>
      <c r="R23" s="260"/>
      <c r="S23" s="260"/>
      <c r="T23" s="260"/>
      <c r="U23" s="260"/>
    </row>
    <row r="24" spans="1:21">
      <c r="A24" s="251" t="s">
        <v>44</v>
      </c>
      <c r="D24" s="257">
        <v>194.055555555556</v>
      </c>
      <c r="F24" s="260"/>
      <c r="G24" s="260"/>
      <c r="H24" s="260"/>
      <c r="I24" s="260"/>
      <c r="J24" s="260"/>
      <c r="K24" s="260"/>
      <c r="L24" s="260"/>
      <c r="M24" s="260"/>
      <c r="N24" s="260"/>
      <c r="O24" s="260"/>
      <c r="P24" s="260"/>
      <c r="Q24" s="260"/>
      <c r="R24" s="260"/>
      <c r="S24" s="260"/>
      <c r="T24" s="260"/>
      <c r="U24" s="260"/>
    </row>
    <row r="25" spans="1:21">
      <c r="A25" s="251"/>
      <c r="D25" s="257"/>
      <c r="F25" s="260"/>
      <c r="G25" s="260"/>
      <c r="H25" s="260"/>
      <c r="I25" s="260"/>
      <c r="J25" s="260"/>
      <c r="K25" s="260"/>
      <c r="L25" s="260"/>
      <c r="M25" s="260"/>
      <c r="N25" s="260"/>
      <c r="O25" s="260"/>
      <c r="P25" s="260"/>
      <c r="Q25" s="260"/>
      <c r="R25" s="260"/>
      <c r="S25" s="260"/>
      <c r="T25" s="260"/>
      <c r="U25" s="260"/>
    </row>
    <row r="26" spans="1:21">
      <c r="A26" s="311" t="s">
        <v>55</v>
      </c>
      <c r="B26" s="311"/>
      <c r="C26" s="311"/>
      <c r="D26" s="311"/>
      <c r="F26" s="260"/>
      <c r="G26" s="260"/>
      <c r="H26" s="260"/>
      <c r="I26" s="260"/>
      <c r="J26" s="260"/>
      <c r="K26" s="260"/>
      <c r="L26" s="260"/>
      <c r="M26" s="260"/>
      <c r="N26" s="260"/>
      <c r="O26" s="260"/>
      <c r="P26" s="260"/>
      <c r="Q26" s="260"/>
      <c r="R26" s="260"/>
      <c r="S26" s="260"/>
      <c r="T26" s="260"/>
      <c r="U26" s="260"/>
    </row>
    <row r="27" spans="1:21">
      <c r="A27" s="311" t="s">
        <v>2</v>
      </c>
      <c r="B27" s="311" t="s">
        <v>56</v>
      </c>
      <c r="C27" s="311" t="s">
        <v>57</v>
      </c>
      <c r="D27" s="312" t="s">
        <v>58</v>
      </c>
      <c r="F27" s="260"/>
      <c r="G27" s="260"/>
      <c r="H27" s="260"/>
      <c r="I27" s="260"/>
      <c r="J27" s="260"/>
      <c r="K27" s="260"/>
      <c r="L27" s="260"/>
      <c r="M27" s="260"/>
      <c r="N27" s="260"/>
      <c r="O27" s="260"/>
      <c r="P27" s="260"/>
      <c r="Q27" s="260"/>
      <c r="R27" s="260"/>
      <c r="S27" s="260"/>
      <c r="T27" s="260"/>
      <c r="U27" s="260"/>
    </row>
    <row r="28" ht="30" spans="1:21">
      <c r="A28" s="269" t="s">
        <v>28</v>
      </c>
      <c r="B28" s="313" t="s">
        <v>59</v>
      </c>
      <c r="C28" s="314" t="s">
        <v>60</v>
      </c>
      <c r="D28" s="313" t="s">
        <v>61</v>
      </c>
      <c r="F28" s="260"/>
      <c r="G28" s="260"/>
      <c r="H28" s="260"/>
      <c r="I28" s="260"/>
      <c r="J28" s="260"/>
      <c r="K28" s="260"/>
      <c r="L28" s="260"/>
      <c r="M28" s="260"/>
      <c r="N28" s="260"/>
      <c r="O28" s="260"/>
      <c r="P28" s="260"/>
      <c r="Q28" s="260"/>
      <c r="R28" s="260"/>
      <c r="S28" s="260"/>
      <c r="T28" s="260"/>
      <c r="U28" s="260"/>
    </row>
    <row r="29" ht="30" spans="1:21">
      <c r="A29" s="269" t="s">
        <v>31</v>
      </c>
      <c r="B29" s="315" t="s">
        <v>54</v>
      </c>
      <c r="C29" s="314" t="s">
        <v>60</v>
      </c>
      <c r="D29" s="313" t="s">
        <v>62</v>
      </c>
      <c r="F29" s="260"/>
      <c r="G29" s="260"/>
      <c r="H29" s="260"/>
      <c r="I29" s="260"/>
      <c r="J29" s="260"/>
      <c r="K29" s="260"/>
      <c r="L29" s="260"/>
      <c r="M29" s="260"/>
      <c r="N29" s="260"/>
      <c r="O29" s="260"/>
      <c r="P29" s="260"/>
      <c r="Q29" s="260"/>
      <c r="R29" s="260"/>
      <c r="S29" s="260"/>
      <c r="T29" s="260"/>
      <c r="U29" s="260"/>
    </row>
    <row r="30" spans="1:21">
      <c r="A30" s="251"/>
      <c r="B30" s="251"/>
      <c r="C30" s="280"/>
      <c r="F30" s="260"/>
      <c r="G30" s="260"/>
      <c r="H30" s="260"/>
      <c r="I30" s="260"/>
      <c r="J30" s="260"/>
      <c r="K30" s="260"/>
      <c r="L30" s="260"/>
      <c r="M30" s="260"/>
      <c r="N30" s="260"/>
      <c r="O30" s="260"/>
      <c r="P30" s="260"/>
      <c r="Q30" s="260"/>
      <c r="R30" s="260"/>
      <c r="S30" s="260"/>
      <c r="T30" s="260"/>
      <c r="U30" s="260"/>
    </row>
    <row r="31" spans="1:4">
      <c r="A31" s="250" t="s">
        <v>63</v>
      </c>
      <c r="B31" s="250"/>
      <c r="C31" s="250"/>
      <c r="D31" s="250"/>
    </row>
    <row r="32" spans="1:4">
      <c r="A32" s="251" t="s">
        <v>64</v>
      </c>
      <c r="B32" s="255" t="s">
        <v>65</v>
      </c>
      <c r="C32" s="251" t="s">
        <v>24</v>
      </c>
      <c r="D32" s="251" t="s">
        <v>66</v>
      </c>
    </row>
    <row r="33" spans="1:4">
      <c r="A33" s="251" t="s">
        <v>28</v>
      </c>
      <c r="B33" t="s">
        <v>67</v>
      </c>
      <c r="C33" s="259">
        <v>0.2</v>
      </c>
      <c r="D33" s="257">
        <v>238.411111111111</v>
      </c>
    </row>
    <row r="34" spans="1:4">
      <c r="A34" s="251" t="s">
        <v>31</v>
      </c>
      <c r="B34" t="s">
        <v>68</v>
      </c>
      <c r="C34" s="259">
        <v>0.025</v>
      </c>
      <c r="D34" s="257">
        <v>29.8013888888889</v>
      </c>
    </row>
    <row r="35" spans="1:4">
      <c r="A35" s="251" t="s">
        <v>34</v>
      </c>
      <c r="B35" t="s">
        <v>69</v>
      </c>
      <c r="C35" s="259">
        <f>Servente!G6</f>
        <v>0.03</v>
      </c>
      <c r="D35" s="257">
        <v>35.7616666666667</v>
      </c>
    </row>
    <row r="36" spans="1:4">
      <c r="A36" s="251" t="s">
        <v>36</v>
      </c>
      <c r="B36" t="s">
        <v>70</v>
      </c>
      <c r="C36" s="259">
        <v>0.015</v>
      </c>
      <c r="D36" s="257">
        <v>17.8808333333333</v>
      </c>
    </row>
    <row r="37" spans="1:4">
      <c r="A37" s="251" t="s">
        <v>39</v>
      </c>
      <c r="B37" t="s">
        <v>71</v>
      </c>
      <c r="C37" s="259">
        <v>0.01</v>
      </c>
      <c r="D37" s="257">
        <v>11.9205555555556</v>
      </c>
    </row>
    <row r="38" spans="1:4">
      <c r="A38" s="251" t="s">
        <v>41</v>
      </c>
      <c r="B38" t="s">
        <v>72</v>
      </c>
      <c r="C38" s="259">
        <v>0.006</v>
      </c>
      <c r="D38" s="257">
        <v>7.15233333333333</v>
      </c>
    </row>
    <row r="39" spans="1:4">
      <c r="A39" s="251" t="s">
        <v>73</v>
      </c>
      <c r="B39" t="s">
        <v>74</v>
      </c>
      <c r="C39" s="259">
        <v>0.002</v>
      </c>
      <c r="D39" s="257">
        <v>2.38411111111111</v>
      </c>
    </row>
    <row r="40" spans="1:4">
      <c r="A40" s="251" t="s">
        <v>75</v>
      </c>
      <c r="B40" t="s">
        <v>76</v>
      </c>
      <c r="C40" s="259">
        <v>0.08</v>
      </c>
      <c r="D40" s="257">
        <v>95.3644444444445</v>
      </c>
    </row>
    <row r="41" spans="1:4">
      <c r="A41" s="251" t="s">
        <v>44</v>
      </c>
      <c r="C41" s="266">
        <f>SUBTOTAL(109,Submódulo2.2[Percentual])</f>
        <v>0.368</v>
      </c>
      <c r="D41" s="257">
        <f>SUBTOTAL(109,Submódulo2.2[Valor ])</f>
        <v>438.676444444444</v>
      </c>
    </row>
    <row r="42" spans="1:4">
      <c r="A42" s="251"/>
      <c r="C42" s="266"/>
      <c r="D42" s="257"/>
    </row>
    <row r="43" spans="1:4">
      <c r="A43" s="311" t="s">
        <v>77</v>
      </c>
      <c r="B43" s="311"/>
      <c r="C43" s="311"/>
      <c r="D43" s="311"/>
    </row>
    <row r="44" spans="1:4">
      <c r="A44" s="311" t="s">
        <v>2</v>
      </c>
      <c r="B44" s="311" t="s">
        <v>56</v>
      </c>
      <c r="C44" s="311" t="s">
        <v>57</v>
      </c>
      <c r="D44" s="312" t="s">
        <v>58</v>
      </c>
    </row>
    <row r="45" ht="30" spans="1:4">
      <c r="A45" s="269" t="s">
        <v>78</v>
      </c>
      <c r="B45" s="313" t="s">
        <v>65</v>
      </c>
      <c r="C45" s="313" t="s">
        <v>79</v>
      </c>
      <c r="D45" s="313" t="s">
        <v>80</v>
      </c>
    </row>
    <row r="47" spans="1:4">
      <c r="A47" s="250" t="s">
        <v>81</v>
      </c>
      <c r="B47" s="250"/>
      <c r="C47" s="250"/>
      <c r="D47" s="250"/>
    </row>
    <row r="48" spans="1:4">
      <c r="A48" s="251" t="s">
        <v>82</v>
      </c>
      <c r="B48" s="255" t="s">
        <v>83</v>
      </c>
      <c r="C48" s="251" t="s">
        <v>4</v>
      </c>
      <c r="D48" s="251" t="s">
        <v>5</v>
      </c>
    </row>
    <row r="49" spans="1:4">
      <c r="A49" s="251" t="s">
        <v>28</v>
      </c>
      <c r="B49" t="s">
        <v>84</v>
      </c>
      <c r="D49" s="257">
        <f>IF(G3=0,0,(Servente!G3*2*Servente!G5)-(6%*_1A))</f>
        <v>0</v>
      </c>
    </row>
    <row r="50" spans="1:4">
      <c r="A50" s="251" t="s">
        <v>31</v>
      </c>
      <c r="B50" t="s">
        <v>85</v>
      </c>
      <c r="D50" s="257">
        <f>(Servente!G4*Servente!G5)*80%</f>
        <v>211.2</v>
      </c>
    </row>
    <row r="51" spans="1:4">
      <c r="A51" s="251" t="s">
        <v>34</v>
      </c>
      <c r="B51" t="s">
        <v>86</v>
      </c>
      <c r="D51" s="257"/>
    </row>
    <row r="52" spans="1:4">
      <c r="A52" s="251" t="s">
        <v>36</v>
      </c>
      <c r="B52" t="s">
        <v>42</v>
      </c>
      <c r="D52" s="257"/>
    </row>
    <row r="53" spans="1:4">
      <c r="A53" s="251" t="s">
        <v>44</v>
      </c>
      <c r="D53" s="257">
        <v>211.2</v>
      </c>
    </row>
    <row r="54" spans="1:4">
      <c r="A54" s="251"/>
      <c r="D54" s="257"/>
    </row>
    <row r="55" spans="1:4">
      <c r="A55" s="311" t="s">
        <v>87</v>
      </c>
      <c r="B55" s="311"/>
      <c r="C55" s="311"/>
      <c r="D55" s="311"/>
    </row>
    <row r="56" spans="1:4">
      <c r="A56" s="311" t="s">
        <v>2</v>
      </c>
      <c r="B56" s="311" t="s">
        <v>56</v>
      </c>
      <c r="C56" s="311" t="s">
        <v>57</v>
      </c>
      <c r="D56" s="311" t="s">
        <v>58</v>
      </c>
    </row>
    <row r="57" ht="45" spans="1:4">
      <c r="A57" s="269" t="s">
        <v>28</v>
      </c>
      <c r="B57" s="313" t="s">
        <v>84</v>
      </c>
      <c r="C57" s="314" t="s">
        <v>88</v>
      </c>
      <c r="D57" s="314" t="s">
        <v>89</v>
      </c>
    </row>
    <row r="58" ht="30" spans="1:4">
      <c r="A58" s="269" t="s">
        <v>31</v>
      </c>
      <c r="B58" s="315" t="s">
        <v>85</v>
      </c>
      <c r="C58" s="314" t="s">
        <v>88</v>
      </c>
      <c r="D58" s="314" t="s">
        <v>90</v>
      </c>
    </row>
    <row r="59" ht="19.5" customHeight="1" spans="1:4">
      <c r="A59" s="251"/>
      <c r="D59" s="257"/>
    </row>
    <row r="60" spans="1:4">
      <c r="A60" s="250" t="s">
        <v>91</v>
      </c>
      <c r="B60" s="250"/>
      <c r="C60" s="250"/>
      <c r="D60" s="250"/>
    </row>
    <row r="61" spans="1:4">
      <c r="A61" s="251" t="s">
        <v>92</v>
      </c>
      <c r="B61" s="255" t="s">
        <v>93</v>
      </c>
      <c r="C61" s="251" t="s">
        <v>4</v>
      </c>
      <c r="D61" s="251" t="s">
        <v>5</v>
      </c>
    </row>
    <row r="62" spans="1:4">
      <c r="A62" s="251" t="s">
        <v>51</v>
      </c>
      <c r="B62" t="s">
        <v>52</v>
      </c>
      <c r="C62" s="251"/>
      <c r="D62" s="257">
        <v>194.055555555556</v>
      </c>
    </row>
    <row r="63" spans="1:4">
      <c r="A63" s="251" t="s">
        <v>64</v>
      </c>
      <c r="B63" t="s">
        <v>65</v>
      </c>
      <c r="C63" s="251"/>
      <c r="D63" s="257">
        <f>Submódulo2.2[[#Totals],[Valor ]]</f>
        <v>438.676444444444</v>
      </c>
    </row>
    <row r="64" spans="1:4">
      <c r="A64" s="251" t="s">
        <v>82</v>
      </c>
      <c r="B64" t="s">
        <v>83</v>
      </c>
      <c r="C64" s="251"/>
      <c r="D64" s="257">
        <f>Submódulo2.3[[#Totals],[Valor]]</f>
        <v>211.2</v>
      </c>
    </row>
    <row r="65" spans="1:4">
      <c r="A65" s="251" t="s">
        <v>44</v>
      </c>
      <c r="C65" s="251"/>
      <c r="D65" s="257">
        <v>843.932</v>
      </c>
    </row>
    <row r="67" spans="1:4">
      <c r="A67" s="234" t="s">
        <v>94</v>
      </c>
      <c r="B67" s="234"/>
      <c r="C67" s="234"/>
      <c r="D67" s="234"/>
    </row>
    <row r="68" spans="1:4">
      <c r="A68" s="251" t="s">
        <v>95</v>
      </c>
      <c r="B68" s="255" t="s">
        <v>96</v>
      </c>
      <c r="C68" s="251" t="s">
        <v>4</v>
      </c>
      <c r="D68" s="251" t="s">
        <v>5</v>
      </c>
    </row>
    <row r="69" spans="1:4">
      <c r="A69" s="251" t="s">
        <v>28</v>
      </c>
      <c r="B69" t="s">
        <v>97</v>
      </c>
      <c r="D69" s="257">
        <v>50.715994537037</v>
      </c>
    </row>
    <row r="70" spans="1:4">
      <c r="A70" s="251" t="s">
        <v>31</v>
      </c>
      <c r="B70" t="s">
        <v>98</v>
      </c>
      <c r="D70" s="257">
        <f>(D40/12)*Servente!G10</f>
        <v>3.44662996296296</v>
      </c>
    </row>
    <row r="71" spans="1:4">
      <c r="A71" s="251" t="s">
        <v>34</v>
      </c>
      <c r="B71" t="s">
        <v>99</v>
      </c>
      <c r="D71" s="257">
        <f>D40*50%*Servente!G10</f>
        <v>20.6797797777778</v>
      </c>
    </row>
    <row r="72" spans="1:4">
      <c r="A72" s="251" t="s">
        <v>36</v>
      </c>
      <c r="B72" t="s">
        <v>100</v>
      </c>
      <c r="D72" s="257">
        <v>66.5704923666667</v>
      </c>
    </row>
    <row r="73" spans="1:4">
      <c r="A73" s="251" t="s">
        <v>39</v>
      </c>
      <c r="B73" t="s">
        <v>101</v>
      </c>
      <c r="D73" s="257">
        <f>D40*50%*Servente!G11</f>
        <v>20.6797797777778</v>
      </c>
    </row>
    <row r="74" spans="1:4">
      <c r="A74" s="251" t="s">
        <v>41</v>
      </c>
      <c r="B74" t="s">
        <v>102</v>
      </c>
      <c r="D74" s="257">
        <f>-D62*Servente!G12</f>
        <v>-4.23041111111111</v>
      </c>
    </row>
    <row r="75" spans="1:4">
      <c r="A75" s="251" t="s">
        <v>44</v>
      </c>
      <c r="D75" s="257">
        <v>157.862265311111</v>
      </c>
    </row>
    <row r="76" spans="1:4">
      <c r="A76" s="251"/>
      <c r="D76" s="257"/>
    </row>
    <row r="77" spans="1:4">
      <c r="A77" s="311" t="s">
        <v>103</v>
      </c>
      <c r="B77" s="311"/>
      <c r="C77" s="311"/>
      <c r="D77" s="311"/>
    </row>
    <row r="78" spans="1:4">
      <c r="A78" s="311" t="s">
        <v>2</v>
      </c>
      <c r="B78" s="311" t="s">
        <v>56</v>
      </c>
      <c r="C78" s="311" t="s">
        <v>57</v>
      </c>
      <c r="D78" s="311" t="s">
        <v>58</v>
      </c>
    </row>
    <row r="79" ht="60" spans="1:4">
      <c r="A79" s="269" t="s">
        <v>28</v>
      </c>
      <c r="B79" s="313" t="s">
        <v>97</v>
      </c>
      <c r="C79" s="314" t="s">
        <v>104</v>
      </c>
      <c r="D79" s="314" t="s">
        <v>105</v>
      </c>
    </row>
    <row r="80" ht="60" spans="1:4">
      <c r="A80" s="269" t="s">
        <v>31</v>
      </c>
      <c r="B80" s="315" t="s">
        <v>98</v>
      </c>
      <c r="C80" s="314" t="s">
        <v>106</v>
      </c>
      <c r="D80" s="314" t="s">
        <v>105</v>
      </c>
    </row>
    <row r="81" ht="75" spans="1:4">
      <c r="A81" s="269" t="s">
        <v>34</v>
      </c>
      <c r="B81" s="315" t="s">
        <v>99</v>
      </c>
      <c r="C81" s="314" t="s">
        <v>106</v>
      </c>
      <c r="D81" s="316" t="s">
        <v>107</v>
      </c>
    </row>
    <row r="82" ht="60" spans="1:4">
      <c r="A82" s="269" t="s">
        <v>36</v>
      </c>
      <c r="B82" s="270" t="s">
        <v>100</v>
      </c>
      <c r="C82" s="314" t="s">
        <v>108</v>
      </c>
      <c r="D82" s="316" t="s">
        <v>109</v>
      </c>
    </row>
    <row r="83" ht="75" spans="1:4">
      <c r="A83" s="269" t="s">
        <v>39</v>
      </c>
      <c r="B83" s="270" t="s">
        <v>101</v>
      </c>
      <c r="C83" s="314" t="s">
        <v>106</v>
      </c>
      <c r="D83" s="316" t="s">
        <v>110</v>
      </c>
    </row>
    <row r="84" ht="60" spans="1:4">
      <c r="A84" s="269" t="s">
        <v>41</v>
      </c>
      <c r="B84" s="270" t="s">
        <v>102</v>
      </c>
      <c r="C84" s="314" t="s">
        <v>111</v>
      </c>
      <c r="D84" s="316" t="s">
        <v>112</v>
      </c>
    </row>
    <row r="86" customHeight="1" spans="1:4">
      <c r="A86" s="278" t="s">
        <v>113</v>
      </c>
      <c r="B86" s="278"/>
      <c r="C86" s="278"/>
      <c r="D86" s="278"/>
    </row>
    <row r="87" spans="1:4">
      <c r="A87" s="250" t="s">
        <v>114</v>
      </c>
      <c r="B87" s="250"/>
      <c r="C87" s="250"/>
      <c r="D87" s="250"/>
    </row>
    <row r="88" spans="1:4">
      <c r="A88" s="251" t="s">
        <v>115</v>
      </c>
      <c r="B88" s="255" t="s">
        <v>116</v>
      </c>
      <c r="C88" s="251" t="s">
        <v>117</v>
      </c>
      <c r="D88" s="251" t="s">
        <v>5</v>
      </c>
    </row>
    <row r="89" spans="1:4">
      <c r="A89" s="251" t="s">
        <v>28</v>
      </c>
      <c r="B89" t="s">
        <v>118</v>
      </c>
      <c r="C89" s="251">
        <v>20.71</v>
      </c>
      <c r="D89" s="257">
        <v>115.043720096092</v>
      </c>
    </row>
    <row r="90" spans="1:4">
      <c r="A90" s="251" t="s">
        <v>31</v>
      </c>
      <c r="B90" t="s">
        <v>119</v>
      </c>
      <c r="C90" s="251">
        <v>1.4181</v>
      </c>
      <c r="D90" s="257">
        <v>7.87752291010468</v>
      </c>
    </row>
    <row r="91" spans="1:4">
      <c r="A91" s="251" t="s">
        <v>34</v>
      </c>
      <c r="B91" t="s">
        <v>120</v>
      </c>
      <c r="C91" s="251">
        <v>0.1898</v>
      </c>
      <c r="D91" s="257">
        <v>1.05433597654458</v>
      </c>
    </row>
    <row r="92" spans="1:4">
      <c r="A92" s="251" t="s">
        <v>36</v>
      </c>
      <c r="B92" t="s">
        <v>121</v>
      </c>
      <c r="C92" s="251">
        <v>0.9545</v>
      </c>
      <c r="D92" s="257">
        <v>5.3022322951096</v>
      </c>
    </row>
    <row r="93" spans="1:4">
      <c r="A93" s="251" t="s">
        <v>39</v>
      </c>
      <c r="B93" t="s">
        <v>122</v>
      </c>
      <c r="C93" s="251">
        <v>2.4723</v>
      </c>
      <c r="D93" s="257">
        <v>13.7335871170241</v>
      </c>
    </row>
    <row r="94" spans="1:4">
      <c r="A94" s="251" t="s">
        <v>41</v>
      </c>
      <c r="B94" t="s">
        <v>123</v>
      </c>
      <c r="C94" s="251">
        <v>3.4521</v>
      </c>
      <c r="D94" s="257">
        <v>19.1763605091125</v>
      </c>
    </row>
    <row r="95" spans="1:4">
      <c r="A95" s="251" t="s">
        <v>44</v>
      </c>
      <c r="C95" s="251">
        <f>SUBTOTAL(109,Submódulo4.1[Dias de ausência])</f>
        <v>29.1968</v>
      </c>
      <c r="D95" s="257">
        <f>SUBTOTAL(109,Submódulo4.1[Valor])</f>
        <v>162.187758903987</v>
      </c>
    </row>
    <row r="96" spans="1:4">
      <c r="A96" s="251"/>
      <c r="C96" s="251"/>
      <c r="D96" s="257"/>
    </row>
    <row r="97" spans="1:4">
      <c r="A97" s="311" t="s">
        <v>124</v>
      </c>
      <c r="B97" s="311"/>
      <c r="C97" s="311"/>
      <c r="D97" s="311"/>
    </row>
    <row r="98" spans="1:4">
      <c r="A98" s="311" t="s">
        <v>2</v>
      </c>
      <c r="B98" s="311" t="s">
        <v>56</v>
      </c>
      <c r="C98" s="311" t="s">
        <v>57</v>
      </c>
      <c r="D98" s="311" t="s">
        <v>58</v>
      </c>
    </row>
    <row r="99" spans="1:4">
      <c r="A99" s="269" t="s">
        <v>125</v>
      </c>
      <c r="B99" s="313" t="s">
        <v>126</v>
      </c>
      <c r="C99" s="314"/>
      <c r="D99" s="314"/>
    </row>
    <row r="100" ht="45" spans="1:4">
      <c r="A100" s="269" t="s">
        <v>125</v>
      </c>
      <c r="B100" s="315" t="s">
        <v>127</v>
      </c>
      <c r="C100" s="314" t="s">
        <v>128</v>
      </c>
      <c r="D100" s="314" t="s">
        <v>129</v>
      </c>
    </row>
    <row r="101" spans="1:4">
      <c r="A101" s="251"/>
      <c r="C101" s="251"/>
      <c r="D101" s="257"/>
    </row>
    <row r="102" spans="1:4">
      <c r="A102" s="250" t="s">
        <v>130</v>
      </c>
      <c r="B102" s="250"/>
      <c r="C102" s="250"/>
      <c r="D102" s="250"/>
    </row>
    <row r="103" spans="1:4">
      <c r="A103" s="251" t="s">
        <v>131</v>
      </c>
      <c r="B103" s="255" t="s">
        <v>132</v>
      </c>
      <c r="C103" s="251" t="s">
        <v>4</v>
      </c>
      <c r="D103" s="251" t="s">
        <v>5</v>
      </c>
    </row>
    <row r="104" spans="1:4">
      <c r="A104" s="251" t="s">
        <v>28</v>
      </c>
      <c r="B104" t="s">
        <v>133</v>
      </c>
      <c r="C104" s="251"/>
      <c r="D104" s="257"/>
    </row>
    <row r="105" spans="1:4">
      <c r="A105" s="251" t="s">
        <v>44</v>
      </c>
      <c r="C105" s="251"/>
      <c r="D105" s="257">
        <f>SUBTOTAL(109,Submódulo4.2[Valor])</f>
        <v>0</v>
      </c>
    </row>
    <row r="107" spans="1:4">
      <c r="A107" s="250" t="s">
        <v>134</v>
      </c>
      <c r="B107" s="250"/>
      <c r="C107" s="250"/>
      <c r="D107" s="250"/>
    </row>
    <row r="108" spans="1:4">
      <c r="A108" s="251" t="s">
        <v>135</v>
      </c>
      <c r="B108" s="255" t="s">
        <v>136</v>
      </c>
      <c r="C108" s="251" t="s">
        <v>4</v>
      </c>
      <c r="D108" s="251" t="s">
        <v>5</v>
      </c>
    </row>
    <row r="109" spans="1:4">
      <c r="A109" s="251" t="s">
        <v>115</v>
      </c>
      <c r="B109" t="s">
        <v>116</v>
      </c>
      <c r="D109" s="257">
        <f>Submódulo4.1[[#Totals],[Valor]]</f>
        <v>162.187758903987</v>
      </c>
    </row>
    <row r="110" spans="1:4">
      <c r="A110" s="251" t="s">
        <v>131</v>
      </c>
      <c r="B110" t="s">
        <v>137</v>
      </c>
      <c r="D110" s="257">
        <f>Submódulo4.2[[#Totals],[Valor]]</f>
        <v>0</v>
      </c>
    </row>
    <row r="111" spans="1:4">
      <c r="A111" s="251" t="s">
        <v>44</v>
      </c>
      <c r="D111" s="257">
        <v>162.187758903987</v>
      </c>
    </row>
    <row r="113" spans="1:4">
      <c r="A113" s="234" t="s">
        <v>138</v>
      </c>
      <c r="B113" s="234"/>
      <c r="C113" s="234"/>
      <c r="D113" s="234"/>
    </row>
    <row r="114" spans="1:4">
      <c r="A114" s="251" t="s">
        <v>139</v>
      </c>
      <c r="B114" s="255" t="s">
        <v>140</v>
      </c>
      <c r="C114" s="251" t="s">
        <v>4</v>
      </c>
      <c r="D114" s="251" t="s">
        <v>5</v>
      </c>
    </row>
    <row r="115" spans="1:4">
      <c r="A115" s="251" t="s">
        <v>28</v>
      </c>
      <c r="B115" t="s">
        <v>141</v>
      </c>
      <c r="D115" s="257" t="e">
        <f>#REF!</f>
        <v>#REF!</v>
      </c>
    </row>
    <row r="116" spans="1:4">
      <c r="A116" s="251" t="s">
        <v>31</v>
      </c>
      <c r="B116" t="s">
        <v>142</v>
      </c>
      <c r="D116" s="257" t="e">
        <f>#REF!/#REF!</f>
        <v>#REF!</v>
      </c>
    </row>
    <row r="117" spans="1:4">
      <c r="A117" s="251" t="s">
        <v>34</v>
      </c>
      <c r="B117" t="s">
        <v>143</v>
      </c>
      <c r="D117" s="257" t="e">
        <f>#REF!/#REF!</f>
        <v>#REF!</v>
      </c>
    </row>
    <row r="118" spans="1:4">
      <c r="A118" s="251" t="s">
        <v>36</v>
      </c>
      <c r="B118" t="s">
        <v>144</v>
      </c>
      <c r="D118" s="257"/>
    </row>
    <row r="119" spans="1:4">
      <c r="A119" s="251" t="s">
        <v>44</v>
      </c>
      <c r="D119" s="257" t="e">
        <v>#REF!</v>
      </c>
    </row>
    <row r="120" spans="1:4">
      <c r="A120" s="251"/>
      <c r="D120" s="257"/>
    </row>
    <row r="121" spans="1:4">
      <c r="A121" s="311" t="s">
        <v>145</v>
      </c>
      <c r="B121" s="311"/>
      <c r="C121" s="311"/>
      <c r="D121" s="311"/>
    </row>
    <row r="122" spans="1:4">
      <c r="A122" s="311" t="s">
        <v>2</v>
      </c>
      <c r="B122" s="311" t="s">
        <v>56</v>
      </c>
      <c r="C122" s="311" t="s">
        <v>57</v>
      </c>
      <c r="D122" s="311" t="s">
        <v>58</v>
      </c>
    </row>
    <row r="123" spans="1:4">
      <c r="A123" s="269" t="s">
        <v>28</v>
      </c>
      <c r="B123" s="313" t="s">
        <v>141</v>
      </c>
      <c r="C123" s="314" t="s">
        <v>146</v>
      </c>
      <c r="D123" s="314"/>
    </row>
    <row r="124" ht="30" spans="1:4">
      <c r="A124" s="269" t="s">
        <v>31</v>
      </c>
      <c r="B124" s="315" t="s">
        <v>142</v>
      </c>
      <c r="C124" s="314" t="s">
        <v>147</v>
      </c>
      <c r="D124" s="314" t="s">
        <v>148</v>
      </c>
    </row>
    <row r="125" ht="30" spans="1:4">
      <c r="A125" s="269" t="s">
        <v>34</v>
      </c>
      <c r="B125" s="315" t="s">
        <v>143</v>
      </c>
      <c r="C125" s="314" t="s">
        <v>149</v>
      </c>
      <c r="D125" s="314" t="s">
        <v>148</v>
      </c>
    </row>
    <row r="126" spans="1:4">
      <c r="A126" s="269" t="s">
        <v>36</v>
      </c>
      <c r="B126" s="315" t="s">
        <v>144</v>
      </c>
      <c r="C126" s="314"/>
      <c r="D126" s="314"/>
    </row>
    <row r="128" spans="1:4">
      <c r="A128" s="234" t="s">
        <v>150</v>
      </c>
      <c r="B128" s="234"/>
      <c r="C128" s="234"/>
      <c r="D128" s="234"/>
    </row>
    <row r="129" outlineLevel="1" spans="1:4">
      <c r="A129" s="251" t="s">
        <v>151</v>
      </c>
      <c r="B129" t="s">
        <v>152</v>
      </c>
      <c r="C129" s="251" t="s">
        <v>24</v>
      </c>
      <c r="D129" s="251" t="s">
        <v>5</v>
      </c>
    </row>
    <row r="130" outlineLevel="1" spans="1:4">
      <c r="A130" s="251" t="s">
        <v>28</v>
      </c>
      <c r="B130" t="s">
        <v>153</v>
      </c>
      <c r="C130" s="259">
        <f>G16</f>
        <v>0.0471</v>
      </c>
      <c r="D130" s="257" t="e">
        <v>#REF!</v>
      </c>
    </row>
    <row r="131" outlineLevel="1" spans="1:4">
      <c r="A131" s="251" t="s">
        <v>31</v>
      </c>
      <c r="B131" t="s">
        <v>45</v>
      </c>
      <c r="C131" s="259">
        <f>G17</f>
        <v>0.0467</v>
      </c>
      <c r="D131" s="257" t="e">
        <v>#REF!</v>
      </c>
    </row>
    <row r="132" spans="1:4">
      <c r="A132" s="251" t="s">
        <v>34</v>
      </c>
      <c r="B132" t="s">
        <v>154</v>
      </c>
      <c r="C132" s="259">
        <f>SUM(C133:C135)</f>
        <v>0.1425</v>
      </c>
      <c r="D132" s="257" t="e">
        <v>#REF!</v>
      </c>
    </row>
    <row r="133" spans="1:4">
      <c r="A133" s="251" t="s">
        <v>155</v>
      </c>
      <c r="B133" t="s">
        <v>46</v>
      </c>
      <c r="C133" s="259">
        <f>G18</f>
        <v>0.0165</v>
      </c>
      <c r="D133" s="257" t="e">
        <v>#REF!</v>
      </c>
    </row>
    <row r="134" spans="1:4">
      <c r="A134" s="251" t="s">
        <v>156</v>
      </c>
      <c r="B134" t="s">
        <v>48</v>
      </c>
      <c r="C134" s="259">
        <f>G19</f>
        <v>0.076</v>
      </c>
      <c r="D134" s="257" t="e">
        <v>#REF!</v>
      </c>
    </row>
    <row r="135" spans="1:4">
      <c r="A135" s="251" t="s">
        <v>157</v>
      </c>
      <c r="B135" t="s">
        <v>50</v>
      </c>
      <c r="C135" s="259">
        <f>G20</f>
        <v>0.05</v>
      </c>
      <c r="D135" s="257" t="e">
        <v>#REF!</v>
      </c>
    </row>
    <row r="136" spans="1:4">
      <c r="A136" s="251" t="s">
        <v>44</v>
      </c>
      <c r="C136" s="290"/>
      <c r="D136" s="257" t="e">
        <f>SUM(D130:D132)</f>
        <v>#REF!</v>
      </c>
    </row>
    <row r="137" spans="1:4">
      <c r="A137" s="251"/>
      <c r="C137" s="290"/>
      <c r="D137" s="257"/>
    </row>
    <row r="139" spans="1:4">
      <c r="A139" s="234" t="s">
        <v>158</v>
      </c>
      <c r="B139" s="234"/>
      <c r="C139" s="234"/>
      <c r="D139" s="234"/>
    </row>
    <row r="140" spans="1:4">
      <c r="A140" s="251" t="s">
        <v>2</v>
      </c>
      <c r="B140" s="251" t="s">
        <v>159</v>
      </c>
      <c r="C140" s="251" t="s">
        <v>88</v>
      </c>
      <c r="D140" s="251" t="s">
        <v>5</v>
      </c>
    </row>
    <row r="141" spans="1:4">
      <c r="A141" s="251" t="s">
        <v>28</v>
      </c>
      <c r="B141" t="s">
        <v>22</v>
      </c>
      <c r="D141" s="257">
        <v>998</v>
      </c>
    </row>
    <row r="142" spans="1:4">
      <c r="A142" s="251" t="s">
        <v>31</v>
      </c>
      <c r="B142" t="s">
        <v>47</v>
      </c>
      <c r="D142" s="257">
        <v>843.932</v>
      </c>
    </row>
    <row r="143" spans="1:4">
      <c r="A143" s="251" t="s">
        <v>34</v>
      </c>
      <c r="B143" t="s">
        <v>94</v>
      </c>
      <c r="D143" s="257">
        <v>157.862265311111</v>
      </c>
    </row>
    <row r="144" spans="1:4">
      <c r="A144" s="251" t="s">
        <v>36</v>
      </c>
      <c r="B144" t="s">
        <v>160</v>
      </c>
      <c r="D144" s="257">
        <v>162.187758903987</v>
      </c>
    </row>
    <row r="145" spans="1:4">
      <c r="A145" s="251" t="s">
        <v>39</v>
      </c>
      <c r="B145" t="s">
        <v>138</v>
      </c>
      <c r="D145" s="257" t="e">
        <v>#REF!</v>
      </c>
    </row>
    <row r="146" spans="1:4">
      <c r="A146" t="s">
        <v>161</v>
      </c>
      <c r="D146" s="257" t="e">
        <f>SUM(D141:D145)</f>
        <v>#REF!</v>
      </c>
    </row>
    <row r="147" spans="1:4">
      <c r="A147" s="251" t="s">
        <v>41</v>
      </c>
      <c r="B147" t="s">
        <v>150</v>
      </c>
      <c r="D147" s="257" t="e">
        <v>#REF!</v>
      </c>
    </row>
    <row r="148" spans="1:4">
      <c r="A148" s="292" t="s">
        <v>162</v>
      </c>
      <c r="B148" s="292"/>
      <c r="C148" s="292"/>
      <c r="D148" s="317"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opLeftCell="A128" workbookViewId="0">
      <selection activeCell="D158" sqref="D158"/>
    </sheetView>
  </sheetViews>
  <sheetFormatPr defaultColWidth="9.14285714285714" defaultRowHeight="15" outlineLevelCol="6"/>
  <cols>
    <col min="1" max="1" width="11.5714285714286" customWidth="1"/>
    <col min="2" max="2" width="51.5714285714286" customWidth="1"/>
    <col min="3" max="3" width="29.7142857142857" customWidth="1"/>
    <col min="4" max="4" width="35.4285714285714" customWidth="1"/>
    <col min="6" max="6" width="22.8571428571429" customWidth="1"/>
    <col min="7" max="7" width="15.552380952381" customWidth="1"/>
    <col min="9" max="9" width="11.4285714285714"/>
  </cols>
  <sheetData>
    <row r="2" ht="19.5" spans="1:4">
      <c r="A2" s="227" t="s">
        <v>163</v>
      </c>
      <c r="B2" s="227"/>
      <c r="C2" s="227"/>
      <c r="D2" s="227"/>
    </row>
    <row r="3" ht="15.75" spans="1:4">
      <c r="A3" s="228" t="s">
        <v>164</v>
      </c>
      <c r="B3" s="228"/>
      <c r="C3" s="228"/>
      <c r="D3" s="228"/>
    </row>
    <row r="4" spans="1:4">
      <c r="A4" s="229" t="s">
        <v>165</v>
      </c>
      <c r="B4" s="230" t="s">
        <v>166</v>
      </c>
      <c r="C4" s="231"/>
      <c r="D4" s="231"/>
    </row>
    <row r="5" spans="1:4">
      <c r="A5" s="232"/>
      <c r="B5" s="233"/>
      <c r="C5" s="233"/>
      <c r="D5" s="233"/>
    </row>
    <row r="6" ht="15.75" spans="1:4">
      <c r="A6" s="234" t="s">
        <v>167</v>
      </c>
      <c r="B6" s="234"/>
      <c r="C6" s="234"/>
      <c r="D6" s="234"/>
    </row>
    <row r="7" ht="15.75" spans="1:4">
      <c r="A7" s="235" t="s">
        <v>28</v>
      </c>
      <c r="B7" s="236" t="s">
        <v>168</v>
      </c>
      <c r="C7" s="237" t="s">
        <v>169</v>
      </c>
      <c r="D7" s="237"/>
    </row>
    <row r="8" spans="1:4">
      <c r="A8" s="238" t="s">
        <v>31</v>
      </c>
      <c r="B8" s="239" t="s">
        <v>170</v>
      </c>
      <c r="C8" s="240" t="s">
        <v>171</v>
      </c>
      <c r="D8" s="240"/>
    </row>
    <row r="9" spans="1:4">
      <c r="A9" s="241" t="s">
        <v>34</v>
      </c>
      <c r="B9" s="242" t="s">
        <v>172</v>
      </c>
      <c r="C9" s="240" t="s">
        <v>173</v>
      </c>
      <c r="D9" s="240"/>
    </row>
    <row r="10" spans="1:4">
      <c r="A10" s="238" t="s">
        <v>39</v>
      </c>
      <c r="B10" s="239" t="s">
        <v>174</v>
      </c>
      <c r="C10" s="240" t="s">
        <v>175</v>
      </c>
      <c r="D10" s="240"/>
    </row>
    <row r="11" ht="15.75" spans="1:4">
      <c r="A11" s="243" t="s">
        <v>176</v>
      </c>
      <c r="B11" s="243"/>
      <c r="C11" s="243"/>
      <c r="D11" s="243"/>
    </row>
    <row r="12" ht="16.5" spans="1:4">
      <c r="A12" s="244" t="s">
        <v>177</v>
      </c>
      <c r="B12" s="244"/>
      <c r="C12" s="243" t="s">
        <v>178</v>
      </c>
      <c r="D12" s="245" t="s">
        <v>179</v>
      </c>
    </row>
    <row r="13" ht="15.75" spans="1:4">
      <c r="A13" s="246" t="s">
        <v>180</v>
      </c>
      <c r="B13" s="246"/>
      <c r="C13" s="240" t="s">
        <v>181</v>
      </c>
      <c r="D13" s="247">
        <f>RESUMO!D3</f>
        <v>3</v>
      </c>
    </row>
    <row r="14" spans="1:4">
      <c r="A14" s="248"/>
      <c r="B14" s="248"/>
      <c r="C14" s="240"/>
      <c r="D14" s="249"/>
    </row>
    <row r="15" ht="15.75" spans="1:7">
      <c r="A15" s="243" t="s">
        <v>0</v>
      </c>
      <c r="B15" s="243"/>
      <c r="C15" s="243"/>
      <c r="D15" s="243"/>
      <c r="F15" s="250"/>
      <c r="G15" s="250"/>
    </row>
    <row r="16" ht="15.75" spans="1:4">
      <c r="A16" s="251" t="s">
        <v>2</v>
      </c>
      <c r="B16" t="s">
        <v>3</v>
      </c>
      <c r="C16" s="251" t="s">
        <v>4</v>
      </c>
      <c r="D16" s="251" t="s">
        <v>5</v>
      </c>
    </row>
    <row r="17" spans="1:4">
      <c r="A17" s="251">
        <v>1</v>
      </c>
      <c r="B17" t="s">
        <v>6</v>
      </c>
      <c r="C17" s="252" t="s">
        <v>88</v>
      </c>
      <c r="D17" s="252" t="str">
        <f>A13</f>
        <v>Auxiliar Administrativo</v>
      </c>
    </row>
    <row r="18" spans="1:4">
      <c r="A18" s="251">
        <v>2</v>
      </c>
      <c r="B18" t="s">
        <v>9</v>
      </c>
      <c r="C18" s="252" t="s">
        <v>182</v>
      </c>
      <c r="D18" s="252" t="s">
        <v>183</v>
      </c>
    </row>
    <row r="19" spans="1:4">
      <c r="A19" s="251">
        <v>3</v>
      </c>
      <c r="B19" t="s">
        <v>12</v>
      </c>
      <c r="C19" s="252" t="str">
        <f>C9</f>
        <v>CCT PB000047/2021</v>
      </c>
      <c r="D19" s="200">
        <v>1148</v>
      </c>
    </row>
    <row r="20" spans="1:4">
      <c r="A20" s="251">
        <v>4</v>
      </c>
      <c r="B20" t="s">
        <v>15</v>
      </c>
      <c r="C20" s="252" t="str">
        <f>C9</f>
        <v>CCT PB000047/2021</v>
      </c>
      <c r="D20" s="253" t="s">
        <v>184</v>
      </c>
    </row>
    <row r="21" spans="1:4">
      <c r="A21" s="251">
        <v>5</v>
      </c>
      <c r="B21" t="s">
        <v>19</v>
      </c>
      <c r="C21" s="252" t="str">
        <f>C9</f>
        <v>CCT PB000047/2021</v>
      </c>
      <c r="D21" s="254" t="s">
        <v>185</v>
      </c>
    </row>
    <row r="22" spans="6:7">
      <c r="F22" s="250"/>
      <c r="G22" s="250"/>
    </row>
    <row r="23" spans="1:4">
      <c r="A23" s="234" t="s">
        <v>22</v>
      </c>
      <c r="B23" s="234"/>
      <c r="C23" s="234"/>
      <c r="D23" s="234"/>
    </row>
    <row r="24" spans="1:7">
      <c r="A24" s="251" t="s">
        <v>25</v>
      </c>
      <c r="B24" s="255" t="s">
        <v>26</v>
      </c>
      <c r="C24" s="251" t="s">
        <v>4</v>
      </c>
      <c r="D24" s="251" t="s">
        <v>5</v>
      </c>
      <c r="G24" s="256"/>
    </row>
    <row r="25" spans="1:7">
      <c r="A25" s="251" t="s">
        <v>28</v>
      </c>
      <c r="B25" t="s">
        <v>29</v>
      </c>
      <c r="C25" s="253" t="s">
        <v>186</v>
      </c>
      <c r="D25" s="200">
        <f>D19</f>
        <v>1148</v>
      </c>
      <c r="G25" s="256"/>
    </row>
    <row r="26" spans="1:7">
      <c r="A26" s="251" t="s">
        <v>31</v>
      </c>
      <c r="B26" t="s">
        <v>32</v>
      </c>
      <c r="C26" s="253"/>
      <c r="D26" s="200">
        <v>0</v>
      </c>
      <c r="G26" s="256"/>
    </row>
    <row r="27" spans="1:4">
      <c r="A27" s="251" t="s">
        <v>34</v>
      </c>
      <c r="B27" t="s">
        <v>35</v>
      </c>
      <c r="C27" s="253"/>
      <c r="D27" s="200">
        <v>0</v>
      </c>
    </row>
    <row r="28" spans="1:4">
      <c r="A28" s="251" t="s">
        <v>36</v>
      </c>
      <c r="B28" t="s">
        <v>37</v>
      </c>
      <c r="C28" s="253"/>
      <c r="D28" s="200">
        <v>0</v>
      </c>
    </row>
    <row r="29" spans="1:4">
      <c r="A29" s="251" t="s">
        <v>39</v>
      </c>
      <c r="B29" t="s">
        <v>40</v>
      </c>
      <c r="C29" s="253"/>
      <c r="D29" s="200">
        <v>0</v>
      </c>
    </row>
    <row r="30" spans="1:4">
      <c r="A30" s="251" t="s">
        <v>41</v>
      </c>
      <c r="B30" t="s">
        <v>42</v>
      </c>
      <c r="C30" s="253"/>
      <c r="D30" s="200">
        <v>0</v>
      </c>
    </row>
    <row r="31" spans="1:7">
      <c r="A31" s="251" t="s">
        <v>44</v>
      </c>
      <c r="C31" s="251"/>
      <c r="D31" s="257">
        <f>TRUNC((SUM(D25:D30)),2)</f>
        <v>1148</v>
      </c>
      <c r="F31" s="250"/>
      <c r="G31" s="250"/>
    </row>
    <row r="33" spans="1:7">
      <c r="A33" s="258" t="s">
        <v>47</v>
      </c>
      <c r="B33" s="258"/>
      <c r="C33" s="258"/>
      <c r="D33" s="258"/>
      <c r="G33" s="256"/>
    </row>
    <row r="35" spans="1:4">
      <c r="A35" s="250" t="s">
        <v>49</v>
      </c>
      <c r="B35" s="250"/>
      <c r="C35" s="250"/>
      <c r="D35" s="250"/>
    </row>
    <row r="36" spans="1:4">
      <c r="A36" s="251" t="s">
        <v>51</v>
      </c>
      <c r="B36" s="255" t="s">
        <v>52</v>
      </c>
      <c r="C36" s="251" t="s">
        <v>24</v>
      </c>
      <c r="D36" s="251" t="s">
        <v>5</v>
      </c>
    </row>
    <row r="37" spans="1:7">
      <c r="A37" s="251" t="s">
        <v>28</v>
      </c>
      <c r="B37" t="s">
        <v>53</v>
      </c>
      <c r="C37" s="259">
        <f>(1/12)</f>
        <v>0.0833333333333333</v>
      </c>
      <c r="D37" s="257">
        <f>TRUNC($D$31*C37,2)</f>
        <v>95.66</v>
      </c>
      <c r="F37" s="260"/>
      <c r="G37" s="260"/>
    </row>
    <row r="38" spans="1:7">
      <c r="A38" s="251" t="s">
        <v>31</v>
      </c>
      <c r="B38" t="s">
        <v>54</v>
      </c>
      <c r="C38" s="259">
        <f>(((1+1/3)/12))</f>
        <v>0.111111111111111</v>
      </c>
      <c r="D38" s="257">
        <f>TRUNC($D$31*C38,2)</f>
        <v>127.55</v>
      </c>
      <c r="F38" s="260"/>
      <c r="G38" s="260"/>
    </row>
    <row r="39" spans="1:7">
      <c r="A39" s="251" t="s">
        <v>44</v>
      </c>
      <c r="D39" s="257">
        <f>TRUNC((SUM(D37:D38)),2)</f>
        <v>223.21</v>
      </c>
      <c r="F39" s="260"/>
      <c r="G39" s="260"/>
    </row>
    <row r="40" ht="15.75" spans="4:7">
      <c r="D40" s="257"/>
      <c r="F40" s="260"/>
      <c r="G40" s="260"/>
    </row>
    <row r="41" ht="16.5" spans="1:7">
      <c r="A41" s="261" t="s">
        <v>187</v>
      </c>
      <c r="B41" s="261"/>
      <c r="C41" s="262" t="s">
        <v>188</v>
      </c>
      <c r="D41" s="263">
        <f>D31</f>
        <v>1148</v>
      </c>
      <c r="F41" s="260"/>
      <c r="G41" s="260"/>
    </row>
    <row r="42" ht="16.5" spans="1:7">
      <c r="A42" s="261"/>
      <c r="B42" s="261"/>
      <c r="C42" s="264" t="s">
        <v>189</v>
      </c>
      <c r="D42" s="263">
        <f>D39</f>
        <v>223.21</v>
      </c>
      <c r="F42" s="260"/>
      <c r="G42" s="260"/>
    </row>
    <row r="43" ht="16.5" spans="1:7">
      <c r="A43" s="261"/>
      <c r="B43" s="261"/>
      <c r="C43" s="262" t="s">
        <v>190</v>
      </c>
      <c r="D43" s="265">
        <f>TRUNC((SUM(D41:D42)),2)</f>
        <v>1371.21</v>
      </c>
      <c r="F43" s="260"/>
      <c r="G43" s="260"/>
    </row>
    <row r="44" ht="15.75" spans="1:7">
      <c r="A44" s="251"/>
      <c r="C44" s="266"/>
      <c r="D44" s="257"/>
      <c r="F44" s="260"/>
      <c r="G44" s="260"/>
    </row>
    <row r="45" spans="1:4">
      <c r="A45" s="250" t="s">
        <v>63</v>
      </c>
      <c r="B45" s="250"/>
      <c r="C45" s="250"/>
      <c r="D45" s="250"/>
    </row>
    <row r="46" spans="1:4">
      <c r="A46" s="251" t="s">
        <v>64</v>
      </c>
      <c r="B46" s="255" t="s">
        <v>65</v>
      </c>
      <c r="C46" s="251" t="s">
        <v>24</v>
      </c>
      <c r="D46" s="251" t="s">
        <v>66</v>
      </c>
    </row>
    <row r="47" spans="1:4">
      <c r="A47" s="251" t="s">
        <v>28</v>
      </c>
      <c r="B47" t="s">
        <v>67</v>
      </c>
      <c r="C47" s="259">
        <v>0.2</v>
      </c>
      <c r="D47" s="257">
        <f t="shared" ref="D47:D54" si="0">TRUNC(($D$43*C47),2)</f>
        <v>274.24</v>
      </c>
    </row>
    <row r="48" spans="1:4">
      <c r="A48" s="251" t="s">
        <v>31</v>
      </c>
      <c r="B48" t="s">
        <v>68</v>
      </c>
      <c r="C48" s="259">
        <v>0.025</v>
      </c>
      <c r="D48" s="257">
        <f t="shared" si="0"/>
        <v>34.28</v>
      </c>
    </row>
    <row r="49" spans="1:4">
      <c r="A49" s="251" t="s">
        <v>34</v>
      </c>
      <c r="B49" t="s">
        <v>191</v>
      </c>
      <c r="C49" s="267">
        <v>0.06</v>
      </c>
      <c r="D49" s="200">
        <f t="shared" si="0"/>
        <v>82.27</v>
      </c>
    </row>
    <row r="50" spans="1:4">
      <c r="A50" s="251" t="s">
        <v>36</v>
      </c>
      <c r="B50" t="s">
        <v>70</v>
      </c>
      <c r="C50" s="259">
        <v>0.015</v>
      </c>
      <c r="D50" s="257">
        <f t="shared" si="0"/>
        <v>20.56</v>
      </c>
    </row>
    <row r="51" spans="1:4">
      <c r="A51" s="251" t="s">
        <v>39</v>
      </c>
      <c r="B51" t="s">
        <v>71</v>
      </c>
      <c r="C51" s="259">
        <v>0.01</v>
      </c>
      <c r="D51" s="257">
        <f t="shared" si="0"/>
        <v>13.71</v>
      </c>
    </row>
    <row r="52" spans="1:4">
      <c r="A52" s="251" t="s">
        <v>41</v>
      </c>
      <c r="B52" t="s">
        <v>72</v>
      </c>
      <c r="C52" s="259">
        <v>0.006</v>
      </c>
      <c r="D52" s="257">
        <f t="shared" si="0"/>
        <v>8.22</v>
      </c>
    </row>
    <row r="53" spans="1:4">
      <c r="A53" s="251" t="s">
        <v>73</v>
      </c>
      <c r="B53" t="s">
        <v>74</v>
      </c>
      <c r="C53" s="259">
        <v>0.002</v>
      </c>
      <c r="D53" s="257">
        <f t="shared" si="0"/>
        <v>2.74</v>
      </c>
    </row>
    <row r="54" spans="1:4">
      <c r="A54" s="251" t="s">
        <v>75</v>
      </c>
      <c r="B54" t="s">
        <v>76</v>
      </c>
      <c r="C54" s="259">
        <v>0.08</v>
      </c>
      <c r="D54" s="257">
        <f t="shared" si="0"/>
        <v>109.69</v>
      </c>
    </row>
    <row r="55" spans="1:4">
      <c r="A55" s="251" t="s">
        <v>44</v>
      </c>
      <c r="C55" s="266">
        <f>SUM(C47:C54)</f>
        <v>0.398</v>
      </c>
      <c r="D55" s="257">
        <f>TRUNC(SUM(D47:D54),2)</f>
        <v>545.71</v>
      </c>
    </row>
    <row r="56" spans="1:4">
      <c r="A56" s="251"/>
      <c r="C56" s="266"/>
      <c r="D56" s="257"/>
    </row>
    <row r="57" spans="1:4">
      <c r="A57" s="250" t="s">
        <v>81</v>
      </c>
      <c r="B57" s="250"/>
      <c r="C57" s="250"/>
      <c r="D57" s="250"/>
    </row>
    <row r="58" spans="1:4">
      <c r="A58" s="251" t="s">
        <v>82</v>
      </c>
      <c r="B58" s="255" t="s">
        <v>83</v>
      </c>
      <c r="C58" s="251" t="s">
        <v>4</v>
      </c>
      <c r="D58" s="251" t="s">
        <v>5</v>
      </c>
    </row>
    <row r="59" spans="1:4">
      <c r="A59" s="251" t="s">
        <v>28</v>
      </c>
      <c r="B59" t="s">
        <v>84</v>
      </c>
      <c r="C59" s="252"/>
      <c r="D59" s="268">
        <v>0</v>
      </c>
    </row>
    <row r="60" spans="1:4">
      <c r="A60" s="251" t="s">
        <v>31</v>
      </c>
      <c r="B60" t="s">
        <v>85</v>
      </c>
      <c r="C60" s="252" t="str">
        <f>C9</f>
        <v>CCT PB000047/2021</v>
      </c>
      <c r="D60" s="200">
        <f>TRUNC((((22*18))-(((22*18))*0.2)),2)</f>
        <v>316.8</v>
      </c>
    </row>
    <row r="61" spans="1:4">
      <c r="A61" s="251" t="s">
        <v>34</v>
      </c>
      <c r="B61" t="s">
        <v>86</v>
      </c>
      <c r="C61" s="252"/>
      <c r="D61" s="200">
        <v>0</v>
      </c>
    </row>
    <row r="62" spans="1:6">
      <c r="A62" s="269" t="s">
        <v>36</v>
      </c>
      <c r="B62" s="270" t="s">
        <v>192</v>
      </c>
      <c r="C62" s="271"/>
      <c r="D62" s="271">
        <v>0</v>
      </c>
      <c r="F62" s="270"/>
    </row>
    <row r="63" spans="1:4">
      <c r="A63" s="251" t="s">
        <v>39</v>
      </c>
      <c r="B63" s="255" t="s">
        <v>193</v>
      </c>
      <c r="C63" s="252" t="str">
        <f>C60</f>
        <v>CCT PB000047/2021</v>
      </c>
      <c r="D63" s="200">
        <v>15</v>
      </c>
    </row>
    <row r="64" spans="1:4">
      <c r="A64" s="251" t="s">
        <v>41</v>
      </c>
      <c r="B64" s="272" t="s">
        <v>194</v>
      </c>
      <c r="C64" s="271" t="str">
        <f>C60</f>
        <v>CCT PB000047/2021</v>
      </c>
      <c r="D64" s="200">
        <v>5</v>
      </c>
    </row>
    <row r="65" spans="1:4">
      <c r="A65" s="251" t="s">
        <v>44</v>
      </c>
      <c r="D65" s="257">
        <f>TRUNC((SUM(D59:D64)),2)</f>
        <v>336.8</v>
      </c>
    </row>
    <row r="66" spans="1:4">
      <c r="A66" s="251"/>
      <c r="D66" s="257"/>
    </row>
    <row r="67" spans="1:4">
      <c r="A67" s="250" t="s">
        <v>91</v>
      </c>
      <c r="B67" s="250"/>
      <c r="C67" s="250"/>
      <c r="D67" s="250"/>
    </row>
    <row r="68" spans="1:4">
      <c r="A68" s="251" t="s">
        <v>92</v>
      </c>
      <c r="B68" s="255" t="s">
        <v>93</v>
      </c>
      <c r="C68" s="251" t="s">
        <v>4</v>
      </c>
      <c r="D68" s="251" t="s">
        <v>5</v>
      </c>
    </row>
    <row r="69" spans="1:4">
      <c r="A69" s="251" t="s">
        <v>51</v>
      </c>
      <c r="B69" t="s">
        <v>52</v>
      </c>
      <c r="C69" s="251"/>
      <c r="D69" s="257">
        <f>D39</f>
        <v>223.21</v>
      </c>
    </row>
    <row r="70" spans="1:4">
      <c r="A70" s="251" t="s">
        <v>64</v>
      </c>
      <c r="B70" t="s">
        <v>65</v>
      </c>
      <c r="C70" s="251"/>
      <c r="D70" s="257">
        <f>D55</f>
        <v>545.71</v>
      </c>
    </row>
    <row r="71" spans="1:4">
      <c r="A71" s="251" t="s">
        <v>82</v>
      </c>
      <c r="B71" t="s">
        <v>83</v>
      </c>
      <c r="C71" s="251"/>
      <c r="D71" s="257">
        <f>D65</f>
        <v>336.8</v>
      </c>
    </row>
    <row r="72" spans="1:4">
      <c r="A72" s="251" t="s">
        <v>44</v>
      </c>
      <c r="C72" s="251"/>
      <c r="D72" s="257">
        <f>TRUNC((SUM(D69:D71)),2)</f>
        <v>1105.72</v>
      </c>
    </row>
    <row r="74" spans="1:4">
      <c r="A74" s="234" t="s">
        <v>94</v>
      </c>
      <c r="B74" s="234"/>
      <c r="C74" s="234"/>
      <c r="D74" s="234"/>
    </row>
    <row r="75" spans="1:4">
      <c r="A75" s="251" t="s">
        <v>95</v>
      </c>
      <c r="B75" s="255" t="s">
        <v>96</v>
      </c>
      <c r="C75" s="251" t="s">
        <v>24</v>
      </c>
      <c r="D75" s="251" t="s">
        <v>5</v>
      </c>
    </row>
    <row r="76" spans="1:4">
      <c r="A76" s="251" t="s">
        <v>28</v>
      </c>
      <c r="B76" t="s">
        <v>97</v>
      </c>
      <c r="C76" s="267">
        <f>((1/12)*5%)</f>
        <v>0.00416666666666667</v>
      </c>
      <c r="D76" s="200">
        <f>TRUNC(($D$31*C76),2)</f>
        <v>4.78</v>
      </c>
    </row>
    <row r="77" spans="1:4">
      <c r="A77" s="251" t="s">
        <v>31</v>
      </c>
      <c r="B77" t="s">
        <v>98</v>
      </c>
      <c r="C77" s="273">
        <v>0.08</v>
      </c>
      <c r="D77" s="257">
        <f>TRUNC(($D$76*C77),2)</f>
        <v>0.38</v>
      </c>
    </row>
    <row r="78" spans="1:4">
      <c r="A78" s="251" t="s">
        <v>34</v>
      </c>
      <c r="B78" s="274" t="s">
        <v>99</v>
      </c>
      <c r="C78" s="275">
        <f>(0.08*0.4*0.05)</f>
        <v>0.0016</v>
      </c>
      <c r="D78" s="271">
        <f>TRUNC(($D$31*C78),2)</f>
        <v>1.83</v>
      </c>
    </row>
    <row r="79" spans="1:4">
      <c r="A79" s="251" t="s">
        <v>36</v>
      </c>
      <c r="B79" t="s">
        <v>100</v>
      </c>
      <c r="C79" s="276">
        <f>(((7/30)/12)*0.95)</f>
        <v>0.0184722222222222</v>
      </c>
      <c r="D79" s="277">
        <f>TRUNC(($D$31*C79),2)</f>
        <v>21.2</v>
      </c>
    </row>
    <row r="80" spans="1:4">
      <c r="A80" s="251" t="s">
        <v>39</v>
      </c>
      <c r="B80" s="274" t="s">
        <v>195</v>
      </c>
      <c r="C80" s="275">
        <f>C55</f>
        <v>0.398</v>
      </c>
      <c r="D80" s="271">
        <f>TRUNC(($D$79*C80),2)</f>
        <v>8.43</v>
      </c>
    </row>
    <row r="81" spans="1:4">
      <c r="A81" s="251" t="s">
        <v>41</v>
      </c>
      <c r="B81" s="274" t="s">
        <v>101</v>
      </c>
      <c r="C81" s="276">
        <f>(0.08*0.4*0.95)</f>
        <v>0.0304</v>
      </c>
      <c r="D81" s="302">
        <f>TRUNC(($D$31*C81),2)</f>
        <v>34.89</v>
      </c>
    </row>
    <row r="82" spans="1:4">
      <c r="A82" s="251" t="s">
        <v>44</v>
      </c>
      <c r="C82" s="273">
        <f>SUM(C76:C81)</f>
        <v>0.532638888888889</v>
      </c>
      <c r="D82" s="257">
        <f>TRUNC((SUM(D76:D81)),2)</f>
        <v>71.51</v>
      </c>
    </row>
    <row r="83" ht="15.75" spans="1:4">
      <c r="A83" s="251"/>
      <c r="D83" s="257"/>
    </row>
    <row r="84" ht="16.5" spans="1:4">
      <c r="A84" s="261" t="s">
        <v>196</v>
      </c>
      <c r="B84" s="261"/>
      <c r="C84" s="262" t="s">
        <v>188</v>
      </c>
      <c r="D84" s="263">
        <f>D31</f>
        <v>1148</v>
      </c>
    </row>
    <row r="85" ht="16.5" spans="1:4">
      <c r="A85" s="261"/>
      <c r="B85" s="261"/>
      <c r="C85" s="264" t="s">
        <v>197</v>
      </c>
      <c r="D85" s="263">
        <f>D72</f>
        <v>1105.72</v>
      </c>
    </row>
    <row r="86" ht="16.5" spans="1:4">
      <c r="A86" s="261"/>
      <c r="B86" s="261"/>
      <c r="C86" s="262" t="s">
        <v>198</v>
      </c>
      <c r="D86" s="263">
        <f>D82</f>
        <v>71.51</v>
      </c>
    </row>
    <row r="87" ht="16.5" spans="1:4">
      <c r="A87" s="261"/>
      <c r="B87" s="261"/>
      <c r="C87" s="264" t="s">
        <v>190</v>
      </c>
      <c r="D87" s="265">
        <f>TRUNC((SUM(D84:D86)),2)</f>
        <v>2325.23</v>
      </c>
    </row>
    <row r="88" ht="15.75" spans="1:4">
      <c r="A88" s="251"/>
      <c r="D88" s="257"/>
    </row>
    <row r="89" spans="1:4">
      <c r="A89" s="278" t="s">
        <v>113</v>
      </c>
      <c r="B89" s="278"/>
      <c r="C89" s="278"/>
      <c r="D89" s="278"/>
    </row>
    <row r="90" spans="1:4">
      <c r="A90" s="250" t="s">
        <v>114</v>
      </c>
      <c r="B90" s="250"/>
      <c r="C90" s="250"/>
      <c r="D90" s="250"/>
    </row>
    <row r="91" spans="1:4">
      <c r="A91" s="251" t="s">
        <v>115</v>
      </c>
      <c r="B91" s="255" t="s">
        <v>116</v>
      </c>
      <c r="C91" s="251" t="s">
        <v>24</v>
      </c>
      <c r="D91" s="251" t="s">
        <v>5</v>
      </c>
    </row>
    <row r="92" spans="1:4">
      <c r="A92" s="251" t="s">
        <v>28</v>
      </c>
      <c r="B92" t="s">
        <v>199</v>
      </c>
      <c r="C92" s="273">
        <f>(((1+1/3)/12)/12)+((1/12)/12)</f>
        <v>0.0162037037037037</v>
      </c>
      <c r="D92" s="257">
        <f>TRUNC(($D$87*C92),2)</f>
        <v>37.67</v>
      </c>
    </row>
    <row r="93" spans="1:4">
      <c r="A93" s="251" t="s">
        <v>31</v>
      </c>
      <c r="B93" t="s">
        <v>119</v>
      </c>
      <c r="C93" s="267">
        <f>((2/30)/12)</f>
        <v>0.00555555555555556</v>
      </c>
      <c r="D93" s="271">
        <f t="shared" ref="D92:D96" si="1">TRUNC(($D$87*C93),2)</f>
        <v>12.91</v>
      </c>
    </row>
    <row r="94" spans="1:4">
      <c r="A94" s="251" t="s">
        <v>34</v>
      </c>
      <c r="B94" t="s">
        <v>120</v>
      </c>
      <c r="C94" s="267">
        <f>((5/30)/12)*0.02</f>
        <v>0.000277777777777778</v>
      </c>
      <c r="D94" s="271">
        <f t="shared" si="1"/>
        <v>0.64</v>
      </c>
    </row>
    <row r="95" spans="1:4">
      <c r="A95" s="269" t="s">
        <v>36</v>
      </c>
      <c r="B95" s="274" t="s">
        <v>121</v>
      </c>
      <c r="C95" s="275">
        <f>((15/30)/12)*0.08</f>
        <v>0.00333333333333333</v>
      </c>
      <c r="D95" s="271">
        <f t="shared" si="1"/>
        <v>7.75</v>
      </c>
    </row>
    <row r="96" spans="1:4">
      <c r="A96" s="251" t="s">
        <v>39</v>
      </c>
      <c r="B96" t="s">
        <v>122</v>
      </c>
      <c r="C96" s="267">
        <f>((1+1/3)/12)*0.03*((4/12))</f>
        <v>0.00111111111111111</v>
      </c>
      <c r="D96" s="271">
        <f t="shared" si="1"/>
        <v>2.58</v>
      </c>
    </row>
    <row r="97" spans="1:4">
      <c r="A97" s="251" t="s">
        <v>41</v>
      </c>
      <c r="B97" s="274" t="s">
        <v>200</v>
      </c>
      <c r="C97" s="279">
        <v>0</v>
      </c>
      <c r="D97" s="271">
        <f>TRUNC($D$87*C97)</f>
        <v>0</v>
      </c>
    </row>
    <row r="98" spans="1:4">
      <c r="A98" s="251" t="s">
        <v>44</v>
      </c>
      <c r="C98" s="273">
        <f>SUM(C92:C97)</f>
        <v>0.0264814814814815</v>
      </c>
      <c r="D98" s="257">
        <f>TRUNC((SUM(D92:D97)),2)</f>
        <v>61.55</v>
      </c>
    </row>
    <row r="99" spans="1:4">
      <c r="A99" s="251"/>
      <c r="C99" s="251"/>
      <c r="D99" s="257"/>
    </row>
    <row r="100" spans="1:4">
      <c r="A100" s="250" t="s">
        <v>130</v>
      </c>
      <c r="B100" s="250"/>
      <c r="C100" s="250"/>
      <c r="D100" s="250"/>
    </row>
    <row r="101" spans="1:4">
      <c r="A101" s="251" t="s">
        <v>131</v>
      </c>
      <c r="B101" s="255" t="s">
        <v>132</v>
      </c>
      <c r="C101" s="251" t="s">
        <v>4</v>
      </c>
      <c r="D101" s="251" t="s">
        <v>5</v>
      </c>
    </row>
    <row r="102" ht="75" spans="1:4">
      <c r="A102" s="269" t="s">
        <v>28</v>
      </c>
      <c r="B102" s="280" t="s">
        <v>133</v>
      </c>
      <c r="C102" s="211" t="s">
        <v>201</v>
      </c>
      <c r="D102" s="212" t="s">
        <v>202</v>
      </c>
    </row>
    <row r="103" spans="1:4">
      <c r="A103" s="251" t="s">
        <v>44</v>
      </c>
      <c r="C103" s="281"/>
      <c r="D103" s="213" t="str">
        <f>D102</f>
        <v>*=TRUNCAR(($D$86/220)*(1*(365/12))/2)</v>
      </c>
    </row>
    <row r="105" spans="1:4">
      <c r="A105" s="250" t="s">
        <v>134</v>
      </c>
      <c r="B105" s="250"/>
      <c r="C105" s="250"/>
      <c r="D105" s="250"/>
    </row>
    <row r="106" spans="1:4">
      <c r="A106" s="251" t="s">
        <v>135</v>
      </c>
      <c r="B106" s="255" t="s">
        <v>136</v>
      </c>
      <c r="C106" s="251" t="s">
        <v>4</v>
      </c>
      <c r="D106" s="251" t="s">
        <v>5</v>
      </c>
    </row>
    <row r="107" spans="1:4">
      <c r="A107" s="251" t="s">
        <v>115</v>
      </c>
      <c r="B107" t="s">
        <v>116</v>
      </c>
      <c r="D107" s="200">
        <f>D98</f>
        <v>61.55</v>
      </c>
    </row>
    <row r="108" spans="1:4">
      <c r="A108" s="251" t="s">
        <v>131</v>
      </c>
      <c r="B108" t="s">
        <v>137</v>
      </c>
      <c r="C108" s="255"/>
      <c r="D108" s="282" t="str">
        <f>Submódulo4.260_55107[[#Totals],[Valor]]</f>
        <v>*=TRUNCAR(($D$86/220)*(1*(365/12))/2)</v>
      </c>
    </row>
    <row r="109" ht="45" spans="1:4">
      <c r="A109" s="269" t="s">
        <v>44</v>
      </c>
      <c r="B109" s="270"/>
      <c r="C109" s="211" t="s">
        <v>203</v>
      </c>
      <c r="D109" s="283">
        <f>TRUNC((SUM(D107:D108)),2)</f>
        <v>61.55</v>
      </c>
    </row>
    <row r="111" spans="1:4">
      <c r="A111" s="234" t="s">
        <v>138</v>
      </c>
      <c r="B111" s="234"/>
      <c r="C111" s="234"/>
      <c r="D111" s="234"/>
    </row>
    <row r="112" ht="37" customHeight="1" spans="1:4">
      <c r="A112" s="269" t="s">
        <v>139</v>
      </c>
      <c r="B112" s="270" t="s">
        <v>140</v>
      </c>
      <c r="C112" s="269" t="s">
        <v>4</v>
      </c>
      <c r="D112" s="269" t="s">
        <v>5</v>
      </c>
    </row>
    <row r="113" spans="1:4">
      <c r="A113" s="251" t="s">
        <v>28</v>
      </c>
      <c r="B113" s="156" t="s">
        <v>204</v>
      </c>
      <c r="C113" s="300"/>
      <c r="D113" s="183">
        <f>Uniformes!G11</f>
        <v>92.4</v>
      </c>
    </row>
    <row r="114" spans="1:4">
      <c r="A114" s="251" t="s">
        <v>31</v>
      </c>
      <c r="B114" s="156" t="s">
        <v>205</v>
      </c>
      <c r="C114" s="300"/>
      <c r="D114" s="284">
        <f>EPC!E21</f>
        <v>17.95</v>
      </c>
    </row>
    <row r="115" spans="1:4">
      <c r="A115" s="251" t="s">
        <v>34</v>
      </c>
      <c r="B115" s="156" t="s">
        <v>142</v>
      </c>
      <c r="C115" s="156"/>
      <c r="D115" s="183">
        <v>0</v>
      </c>
    </row>
    <row r="116" spans="1:4">
      <c r="A116" s="251" t="s">
        <v>36</v>
      </c>
      <c r="B116" s="156" t="s">
        <v>143</v>
      </c>
      <c r="C116" s="156"/>
      <c r="D116" s="183">
        <v>0</v>
      </c>
    </row>
    <row r="117" spans="1:4">
      <c r="A117" s="251" t="s">
        <v>39</v>
      </c>
      <c r="B117" s="156" t="s">
        <v>206</v>
      </c>
      <c r="C117" s="181"/>
      <c r="D117" s="303">
        <v>0</v>
      </c>
    </row>
    <row r="118" spans="1:4">
      <c r="A118" s="251" t="s">
        <v>44</v>
      </c>
      <c r="D118" s="257">
        <f>TRUNC(SUM(D113:D117),2)</f>
        <v>110.35</v>
      </c>
    </row>
    <row r="120" ht="16.5" spans="1:4">
      <c r="A120" s="261" t="s">
        <v>207</v>
      </c>
      <c r="B120" s="261"/>
      <c r="C120" s="262" t="s">
        <v>188</v>
      </c>
      <c r="D120" s="263">
        <f>D31</f>
        <v>1148</v>
      </c>
    </row>
    <row r="121" ht="16.5" spans="1:4">
      <c r="A121" s="261"/>
      <c r="B121" s="261"/>
      <c r="C121" s="264" t="s">
        <v>197</v>
      </c>
      <c r="D121" s="263">
        <f>D72</f>
        <v>1105.72</v>
      </c>
    </row>
    <row r="122" ht="16.5" spans="1:4">
      <c r="A122" s="261"/>
      <c r="B122" s="261"/>
      <c r="C122" s="262" t="s">
        <v>198</v>
      </c>
      <c r="D122" s="263">
        <f>D82</f>
        <v>71.51</v>
      </c>
    </row>
    <row r="123" ht="16.5" spans="1:4">
      <c r="A123" s="261"/>
      <c r="B123" s="261"/>
      <c r="C123" s="264" t="s">
        <v>208</v>
      </c>
      <c r="D123" s="263">
        <f>D109</f>
        <v>61.55</v>
      </c>
    </row>
    <row r="124" ht="16.5" spans="1:4">
      <c r="A124" s="261"/>
      <c r="B124" s="261"/>
      <c r="C124" s="262" t="s">
        <v>209</v>
      </c>
      <c r="D124" s="263">
        <f>D118</f>
        <v>110.35</v>
      </c>
    </row>
    <row r="125" ht="16.5" spans="1:4">
      <c r="A125" s="261"/>
      <c r="B125" s="261"/>
      <c r="C125" s="264" t="s">
        <v>190</v>
      </c>
      <c r="D125" s="265">
        <f>TRUNC((SUM(D120:D124)),2)</f>
        <v>2497.13</v>
      </c>
    </row>
    <row r="126" ht="15.75"/>
    <row r="127" spans="1:4">
      <c r="A127" s="234" t="s">
        <v>150</v>
      </c>
      <c r="B127" s="234"/>
      <c r="C127" s="234"/>
      <c r="D127" s="234"/>
    </row>
    <row r="128" spans="1:7">
      <c r="A128" s="251" t="s">
        <v>151</v>
      </c>
      <c r="B128" t="s">
        <v>152</v>
      </c>
      <c r="C128" s="251" t="s">
        <v>24</v>
      </c>
      <c r="D128" s="251" t="s">
        <v>5</v>
      </c>
      <c r="F128" s="285" t="s">
        <v>210</v>
      </c>
      <c r="G128" s="285"/>
    </row>
    <row r="129" ht="15.75" spans="1:7">
      <c r="A129" s="251" t="s">
        <v>28</v>
      </c>
      <c r="B129" t="s">
        <v>153</v>
      </c>
      <c r="C129" s="196">
        <v>0.044</v>
      </c>
      <c r="D129" s="183">
        <f>TRUNC(($D$125*C129),2)</f>
        <v>109.87</v>
      </c>
      <c r="F129" s="286" t="s">
        <v>211</v>
      </c>
      <c r="G129" s="275">
        <f>C131</f>
        <v>0.0865</v>
      </c>
    </row>
    <row r="130" ht="15.75" spans="1:7">
      <c r="A130" s="251" t="s">
        <v>31</v>
      </c>
      <c r="B130" t="s">
        <v>45</v>
      </c>
      <c r="C130" s="196">
        <v>0.0413</v>
      </c>
      <c r="D130" s="183">
        <f>TRUNC((C130*(D125+D129)),2)</f>
        <v>107.66</v>
      </c>
      <c r="F130" s="287" t="s">
        <v>212</v>
      </c>
      <c r="G130" s="288">
        <f>TRUNC(SUM(D125,D129,D130),2)</f>
        <v>2714.66</v>
      </c>
    </row>
    <row r="131" spans="1:7">
      <c r="A131" s="251" t="s">
        <v>34</v>
      </c>
      <c r="B131" t="s">
        <v>154</v>
      </c>
      <c r="C131" s="196">
        <f>SUM(C132:C134)</f>
        <v>0.0865</v>
      </c>
      <c r="D131" s="284">
        <f>SUM(D132:D134)</f>
        <v>257.04</v>
      </c>
      <c r="F131" s="286" t="s">
        <v>213</v>
      </c>
      <c r="G131" s="289">
        <f>(100-8.65)/100</f>
        <v>0.9135</v>
      </c>
    </row>
    <row r="132" ht="15.75" spans="1:7">
      <c r="A132" s="251"/>
      <c r="B132" t="s">
        <v>214</v>
      </c>
      <c r="C132" s="267">
        <v>0.0065</v>
      </c>
      <c r="D132" s="200">
        <f t="shared" ref="D132:D134" si="2">TRUNC(($G$132*C132),2)</f>
        <v>19.31</v>
      </c>
      <c r="F132" s="287" t="s">
        <v>210</v>
      </c>
      <c r="G132" s="288">
        <f>TRUNC((G130/G131),2)</f>
        <v>2971.71</v>
      </c>
    </row>
    <row r="133" ht="15.75" spans="1:4">
      <c r="A133" s="251"/>
      <c r="B133" t="s">
        <v>215</v>
      </c>
      <c r="C133" s="267">
        <v>0.03</v>
      </c>
      <c r="D133" s="200">
        <f t="shared" si="2"/>
        <v>89.15</v>
      </c>
    </row>
    <row r="134" spans="1:4">
      <c r="A134" s="251"/>
      <c r="B134" t="s">
        <v>216</v>
      </c>
      <c r="C134" s="267">
        <v>0.05</v>
      </c>
      <c r="D134" s="200">
        <f t="shared" si="2"/>
        <v>148.58</v>
      </c>
    </row>
    <row r="135" spans="1:4">
      <c r="A135" s="251" t="s">
        <v>44</v>
      </c>
      <c r="B135" s="156"/>
      <c r="C135" s="290"/>
      <c r="D135" s="257">
        <f>SUM(D129:D131)</f>
        <v>474.57</v>
      </c>
    </row>
    <row r="136" spans="1:4">
      <c r="A136" s="251"/>
      <c r="C136" s="290"/>
      <c r="D136" s="257"/>
    </row>
    <row r="138" spans="1:4">
      <c r="A138" s="234" t="s">
        <v>158</v>
      </c>
      <c r="B138" s="234"/>
      <c r="C138" s="234"/>
      <c r="D138" s="234"/>
    </row>
    <row r="139" spans="1:4">
      <c r="A139" s="251" t="s">
        <v>2</v>
      </c>
      <c r="B139" s="251" t="s">
        <v>159</v>
      </c>
      <c r="C139" s="251" t="s">
        <v>88</v>
      </c>
      <c r="D139" s="251" t="s">
        <v>5</v>
      </c>
    </row>
    <row r="140" spans="1:4">
      <c r="A140" s="251" t="s">
        <v>28</v>
      </c>
      <c r="B140" t="s">
        <v>22</v>
      </c>
      <c r="D140" s="257">
        <f>D31</f>
        <v>1148</v>
      </c>
    </row>
    <row r="141" spans="1:4">
      <c r="A141" s="251" t="s">
        <v>31</v>
      </c>
      <c r="B141" t="s">
        <v>47</v>
      </c>
      <c r="D141" s="257">
        <f>D72</f>
        <v>1105.72</v>
      </c>
    </row>
    <row r="142" spans="1:4">
      <c r="A142" s="251" t="s">
        <v>34</v>
      </c>
      <c r="B142" t="s">
        <v>94</v>
      </c>
      <c r="D142" s="257">
        <f>D82</f>
        <v>71.51</v>
      </c>
    </row>
    <row r="143" spans="1:4">
      <c r="A143" s="251" t="s">
        <v>36</v>
      </c>
      <c r="B143" t="s">
        <v>160</v>
      </c>
      <c r="D143" s="257">
        <f>D109</f>
        <v>61.55</v>
      </c>
    </row>
    <row r="144" spans="1:4">
      <c r="A144" s="251" t="s">
        <v>39</v>
      </c>
      <c r="B144" t="s">
        <v>138</v>
      </c>
      <c r="D144" s="257">
        <f>D118</f>
        <v>110.35</v>
      </c>
    </row>
    <row r="145" spans="2:4">
      <c r="B145" s="291" t="s">
        <v>161</v>
      </c>
      <c r="D145" s="257">
        <f>SUM(D140:D144)</f>
        <v>2497.13</v>
      </c>
    </row>
    <row r="146" spans="1:4">
      <c r="A146" s="251" t="s">
        <v>41</v>
      </c>
      <c r="B146" t="s">
        <v>150</v>
      </c>
      <c r="D146" s="257">
        <f>D135</f>
        <v>474.57</v>
      </c>
    </row>
    <row r="147" spans="1:4">
      <c r="A147" s="292"/>
      <c r="B147" s="293" t="s">
        <v>217</v>
      </c>
      <c r="C147" s="292"/>
      <c r="D147" s="294">
        <f>TRUNC((SUM(D140:D144)+D146),2)</f>
        <v>2971.7</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workbookViewId="0">
      <selection activeCell="A2" sqref="A2:D147"/>
    </sheetView>
  </sheetViews>
  <sheetFormatPr defaultColWidth="9.14285714285714" defaultRowHeight="15" outlineLevelCol="6"/>
  <cols>
    <col min="1" max="1" width="11" customWidth="1"/>
    <col min="2" max="2" width="52" customWidth="1"/>
    <col min="3" max="3" width="31.2857142857143" customWidth="1"/>
    <col min="4" max="4" width="34.5714285714286" customWidth="1"/>
    <col min="6" max="6" width="22.8571428571429" customWidth="1"/>
    <col min="7" max="7" width="11.4285714285714" customWidth="1"/>
    <col min="9" max="9" width="11.4285714285714" customWidth="1"/>
  </cols>
  <sheetData>
    <row r="2" ht="19.5" spans="1:4">
      <c r="A2" s="227" t="s">
        <v>163</v>
      </c>
      <c r="B2" s="227"/>
      <c r="C2" s="227"/>
      <c r="D2" s="227"/>
    </row>
    <row r="3" ht="15.75" spans="1:4">
      <c r="A3" s="228" t="s">
        <v>164</v>
      </c>
      <c r="B3" s="228"/>
      <c r="C3" s="228"/>
      <c r="D3" s="228"/>
    </row>
    <row r="4" spans="1:4">
      <c r="A4" s="229" t="s">
        <v>165</v>
      </c>
      <c r="B4" s="230" t="s">
        <v>166</v>
      </c>
      <c r="C4" s="231"/>
      <c r="D4" s="231"/>
    </row>
    <row r="5" spans="1:4">
      <c r="A5" s="232"/>
      <c r="B5" s="233"/>
      <c r="C5" s="233"/>
      <c r="D5" s="233"/>
    </row>
    <row r="6" ht="15.75" spans="1:4">
      <c r="A6" s="234" t="s">
        <v>167</v>
      </c>
      <c r="B6" s="234"/>
      <c r="C6" s="234"/>
      <c r="D6" s="234"/>
    </row>
    <row r="7" ht="15.75" spans="1:4">
      <c r="A7" s="235" t="s">
        <v>28</v>
      </c>
      <c r="B7" s="236" t="s">
        <v>168</v>
      </c>
      <c r="C7" s="237" t="s">
        <v>169</v>
      </c>
      <c r="D7" s="237"/>
    </row>
    <row r="8" spans="1:4">
      <c r="A8" s="238" t="s">
        <v>31</v>
      </c>
      <c r="B8" s="239" t="s">
        <v>170</v>
      </c>
      <c r="C8" s="240" t="s">
        <v>171</v>
      </c>
      <c r="D8" s="240"/>
    </row>
    <row r="9" spans="1:4">
      <c r="A9" s="241" t="s">
        <v>34</v>
      </c>
      <c r="B9" s="242" t="s">
        <v>172</v>
      </c>
      <c r="C9" s="240" t="s">
        <v>173</v>
      </c>
      <c r="D9" s="240"/>
    </row>
    <row r="10" spans="1:4">
      <c r="A10" s="238" t="s">
        <v>39</v>
      </c>
      <c r="B10" s="239" t="s">
        <v>174</v>
      </c>
      <c r="C10" s="240" t="s">
        <v>175</v>
      </c>
      <c r="D10" s="240"/>
    </row>
    <row r="11" ht="15.75" spans="1:4">
      <c r="A11" s="243" t="s">
        <v>176</v>
      </c>
      <c r="B11" s="243"/>
      <c r="C11" s="243"/>
      <c r="D11" s="243"/>
    </row>
    <row r="12" ht="16.5" spans="1:4">
      <c r="A12" s="244" t="s">
        <v>177</v>
      </c>
      <c r="B12" s="244"/>
      <c r="C12" s="243" t="s">
        <v>178</v>
      </c>
      <c r="D12" s="245" t="s">
        <v>179</v>
      </c>
    </row>
    <row r="13" ht="15.75" spans="1:4">
      <c r="A13" s="246" t="s">
        <v>218</v>
      </c>
      <c r="B13" s="246"/>
      <c r="C13" s="240" t="s">
        <v>181</v>
      </c>
      <c r="D13" s="247">
        <f>RESUMO!D4</f>
        <v>1</v>
      </c>
    </row>
    <row r="14" spans="1:4">
      <c r="A14" s="248"/>
      <c r="B14" s="248"/>
      <c r="C14" s="240"/>
      <c r="D14" s="249"/>
    </row>
    <row r="15" ht="15.75" spans="1:7">
      <c r="A15" s="243" t="s">
        <v>0</v>
      </c>
      <c r="B15" s="243"/>
      <c r="C15" s="243"/>
      <c r="D15" s="243"/>
      <c r="F15" s="250"/>
      <c r="G15" s="250"/>
    </row>
    <row r="16" ht="15.75" spans="1:4">
      <c r="A16" s="251" t="s">
        <v>2</v>
      </c>
      <c r="B16" t="s">
        <v>3</v>
      </c>
      <c r="C16" s="251" t="s">
        <v>4</v>
      </c>
      <c r="D16" s="251" t="s">
        <v>5</v>
      </c>
    </row>
    <row r="17" spans="1:4">
      <c r="A17" s="251">
        <v>1</v>
      </c>
      <c r="B17" t="s">
        <v>6</v>
      </c>
      <c r="C17" s="252" t="s">
        <v>88</v>
      </c>
      <c r="D17" s="252" t="str">
        <f>A13</f>
        <v>Copeiro(a)</v>
      </c>
    </row>
    <row r="18" spans="1:4">
      <c r="A18" s="251">
        <v>2</v>
      </c>
      <c r="B18" t="s">
        <v>9</v>
      </c>
      <c r="C18" s="252" t="s">
        <v>182</v>
      </c>
      <c r="D18" s="252" t="s">
        <v>219</v>
      </c>
    </row>
    <row r="19" spans="1:4">
      <c r="A19" s="251">
        <v>3</v>
      </c>
      <c r="B19" t="s">
        <v>12</v>
      </c>
      <c r="C19" s="252" t="str">
        <f>C9</f>
        <v>CCT PB000047/2021</v>
      </c>
      <c r="D19" s="200">
        <v>1103</v>
      </c>
    </row>
    <row r="20" spans="1:4">
      <c r="A20" s="251">
        <v>4</v>
      </c>
      <c r="B20" t="s">
        <v>15</v>
      </c>
      <c r="C20" s="252" t="str">
        <f>C9</f>
        <v>CCT PB000047/2021</v>
      </c>
      <c r="D20" s="253" t="s">
        <v>184</v>
      </c>
    </row>
    <row r="21" spans="1:4">
      <c r="A21" s="251">
        <v>5</v>
      </c>
      <c r="B21" t="s">
        <v>19</v>
      </c>
      <c r="C21" s="252" t="str">
        <f>C9</f>
        <v>CCT PB000047/2021</v>
      </c>
      <c r="D21" s="254" t="s">
        <v>185</v>
      </c>
    </row>
    <row r="22" spans="6:7">
      <c r="F22" s="250"/>
      <c r="G22" s="250"/>
    </row>
    <row r="23" spans="1:4">
      <c r="A23" s="234" t="s">
        <v>22</v>
      </c>
      <c r="B23" s="234"/>
      <c r="C23" s="234"/>
      <c r="D23" s="234"/>
    </row>
    <row r="24" spans="1:7">
      <c r="A24" s="251" t="s">
        <v>25</v>
      </c>
      <c r="B24" s="255" t="s">
        <v>26</v>
      </c>
      <c r="C24" s="251" t="s">
        <v>4</v>
      </c>
      <c r="D24" s="251" t="s">
        <v>5</v>
      </c>
      <c r="G24" s="256"/>
    </row>
    <row r="25" spans="1:7">
      <c r="A25" s="251" t="s">
        <v>28</v>
      </c>
      <c r="B25" t="s">
        <v>29</v>
      </c>
      <c r="C25" s="253" t="s">
        <v>220</v>
      </c>
      <c r="D25" s="200">
        <f>D19</f>
        <v>1103</v>
      </c>
      <c r="G25" s="256"/>
    </row>
    <row r="26" spans="1:7">
      <c r="A26" s="251" t="s">
        <v>31</v>
      </c>
      <c r="B26" t="s">
        <v>32</v>
      </c>
      <c r="C26" s="253"/>
      <c r="D26" s="268">
        <v>0</v>
      </c>
      <c r="G26" s="256"/>
    </row>
    <row r="27" spans="1:4">
      <c r="A27" s="251" t="s">
        <v>34</v>
      </c>
      <c r="B27" t="s">
        <v>35</v>
      </c>
      <c r="C27" s="253"/>
      <c r="D27" s="200">
        <v>0</v>
      </c>
    </row>
    <row r="28" spans="1:4">
      <c r="A28" s="251" t="s">
        <v>36</v>
      </c>
      <c r="B28" t="s">
        <v>37</v>
      </c>
      <c r="C28" s="253"/>
      <c r="D28" s="200">
        <v>0</v>
      </c>
    </row>
    <row r="29" spans="1:4">
      <c r="A29" s="251" t="s">
        <v>39</v>
      </c>
      <c r="B29" t="s">
        <v>40</v>
      </c>
      <c r="C29" s="253"/>
      <c r="D29" s="200">
        <v>0</v>
      </c>
    </row>
    <row r="30" spans="1:4">
      <c r="A30" s="251" t="s">
        <v>41</v>
      </c>
      <c r="B30" t="s">
        <v>42</v>
      </c>
      <c r="C30" s="253"/>
      <c r="D30" s="200">
        <v>0</v>
      </c>
    </row>
    <row r="31" spans="1:7">
      <c r="A31" s="251" t="s">
        <v>44</v>
      </c>
      <c r="C31" s="251"/>
      <c r="D31" s="257">
        <f>TRUNC(SUM(D25:D30),2)</f>
        <v>1103</v>
      </c>
      <c r="F31" s="250"/>
      <c r="G31" s="250"/>
    </row>
    <row r="33" spans="1:7">
      <c r="A33" s="258" t="s">
        <v>47</v>
      </c>
      <c r="B33" s="258"/>
      <c r="C33" s="258"/>
      <c r="D33" s="258"/>
      <c r="G33" s="256"/>
    </row>
    <row r="35" spans="1:4">
      <c r="A35" s="250" t="s">
        <v>49</v>
      </c>
      <c r="B35" s="250"/>
      <c r="C35" s="250"/>
      <c r="D35" s="250"/>
    </row>
    <row r="36" spans="1:4">
      <c r="A36" s="251" t="s">
        <v>51</v>
      </c>
      <c r="B36" s="255" t="s">
        <v>52</v>
      </c>
      <c r="C36" s="251" t="s">
        <v>24</v>
      </c>
      <c r="D36" s="251" t="s">
        <v>5</v>
      </c>
    </row>
    <row r="37" spans="1:7">
      <c r="A37" s="251" t="s">
        <v>28</v>
      </c>
      <c r="B37" t="s">
        <v>53</v>
      </c>
      <c r="C37" s="259">
        <f>(1/12)</f>
        <v>0.0833333333333333</v>
      </c>
      <c r="D37" s="257">
        <f>TRUNC($D$31*C37,2)</f>
        <v>91.91</v>
      </c>
      <c r="F37" s="260"/>
      <c r="G37" s="260"/>
    </row>
    <row r="38" spans="1:7">
      <c r="A38" s="251" t="s">
        <v>31</v>
      </c>
      <c r="B38" t="s">
        <v>54</v>
      </c>
      <c r="C38" s="259">
        <f>(((1+1/3)/12))</f>
        <v>0.111111111111111</v>
      </c>
      <c r="D38" s="257">
        <f>TRUNC($D$31*C38,2)</f>
        <v>122.55</v>
      </c>
      <c r="F38" s="260"/>
      <c r="G38" s="260"/>
    </row>
    <row r="39" spans="1:7">
      <c r="A39" s="251" t="s">
        <v>44</v>
      </c>
      <c r="D39" s="257">
        <f>TRUNC((SUM(D37:D38)),2)</f>
        <v>214.46</v>
      </c>
      <c r="F39" s="260"/>
      <c r="G39" s="260"/>
    </row>
    <row r="40" ht="15.75" spans="4:7">
      <c r="D40" s="257"/>
      <c r="F40" s="260"/>
      <c r="G40" s="260"/>
    </row>
    <row r="41" ht="16.5" spans="1:7">
      <c r="A41" s="261" t="s">
        <v>187</v>
      </c>
      <c r="B41" s="261"/>
      <c r="C41" s="262" t="s">
        <v>188</v>
      </c>
      <c r="D41" s="263">
        <f>D31</f>
        <v>1103</v>
      </c>
      <c r="F41" s="260"/>
      <c r="G41" s="260"/>
    </row>
    <row r="42" ht="16.5" spans="1:7">
      <c r="A42" s="261"/>
      <c r="B42" s="261"/>
      <c r="C42" s="264" t="s">
        <v>189</v>
      </c>
      <c r="D42" s="263">
        <f>D39</f>
        <v>214.46</v>
      </c>
      <c r="F42" s="260"/>
      <c r="G42" s="260"/>
    </row>
    <row r="43" ht="16.5" spans="1:7">
      <c r="A43" s="261"/>
      <c r="B43" s="261"/>
      <c r="C43" s="262" t="s">
        <v>190</v>
      </c>
      <c r="D43" s="265">
        <f>TRUNC((SUM(D41:D42)),2)</f>
        <v>1317.46</v>
      </c>
      <c r="F43" s="260"/>
      <c r="G43" s="260"/>
    </row>
    <row r="44" ht="15.75" spans="1:7">
      <c r="A44" s="251"/>
      <c r="C44" s="266"/>
      <c r="D44" s="257"/>
      <c r="F44" s="260"/>
      <c r="G44" s="260"/>
    </row>
    <row r="45" spans="1:4">
      <c r="A45" s="250" t="s">
        <v>63</v>
      </c>
      <c r="B45" s="250"/>
      <c r="C45" s="250"/>
      <c r="D45" s="250"/>
    </row>
    <row r="46" spans="1:4">
      <c r="A46" s="251" t="s">
        <v>64</v>
      </c>
      <c r="B46" s="255" t="s">
        <v>65</v>
      </c>
      <c r="C46" s="251" t="s">
        <v>24</v>
      </c>
      <c r="D46" s="251" t="s">
        <v>66</v>
      </c>
    </row>
    <row r="47" spans="1:4">
      <c r="A47" s="251" t="s">
        <v>28</v>
      </c>
      <c r="B47" t="s">
        <v>67</v>
      </c>
      <c r="C47" s="259">
        <v>0.2</v>
      </c>
      <c r="D47" s="257">
        <f t="shared" ref="D47:D54" si="0">TRUNC(($D$43*C47),2)</f>
        <v>263.49</v>
      </c>
    </row>
    <row r="48" spans="1:4">
      <c r="A48" s="251" t="s">
        <v>31</v>
      </c>
      <c r="B48" t="s">
        <v>68</v>
      </c>
      <c r="C48" s="259">
        <v>0.025</v>
      </c>
      <c r="D48" s="257">
        <f t="shared" si="0"/>
        <v>32.93</v>
      </c>
    </row>
    <row r="49" spans="1:4">
      <c r="A49" s="251" t="s">
        <v>34</v>
      </c>
      <c r="B49" t="s">
        <v>191</v>
      </c>
      <c r="C49" s="267">
        <v>0.06</v>
      </c>
      <c r="D49" s="200">
        <f t="shared" si="0"/>
        <v>79.04</v>
      </c>
    </row>
    <row r="50" spans="1:4">
      <c r="A50" s="251" t="s">
        <v>36</v>
      </c>
      <c r="B50" t="s">
        <v>70</v>
      </c>
      <c r="C50" s="259">
        <v>0.015</v>
      </c>
      <c r="D50" s="257">
        <f t="shared" si="0"/>
        <v>19.76</v>
      </c>
    </row>
    <row r="51" spans="1:4">
      <c r="A51" s="251" t="s">
        <v>39</v>
      </c>
      <c r="B51" t="s">
        <v>71</v>
      </c>
      <c r="C51" s="259">
        <v>0.01</v>
      </c>
      <c r="D51" s="257">
        <f t="shared" si="0"/>
        <v>13.17</v>
      </c>
    </row>
    <row r="52" spans="1:4">
      <c r="A52" s="251" t="s">
        <v>41</v>
      </c>
      <c r="B52" t="s">
        <v>72</v>
      </c>
      <c r="C52" s="259">
        <v>0.006</v>
      </c>
      <c r="D52" s="257">
        <f t="shared" si="0"/>
        <v>7.9</v>
      </c>
    </row>
    <row r="53" spans="1:4">
      <c r="A53" s="251" t="s">
        <v>73</v>
      </c>
      <c r="B53" t="s">
        <v>74</v>
      </c>
      <c r="C53" s="259">
        <v>0.002</v>
      </c>
      <c r="D53" s="257">
        <f t="shared" si="0"/>
        <v>2.63</v>
      </c>
    </row>
    <row r="54" spans="1:4">
      <c r="A54" s="251" t="s">
        <v>75</v>
      </c>
      <c r="B54" t="s">
        <v>76</v>
      </c>
      <c r="C54" s="259">
        <v>0.08</v>
      </c>
      <c r="D54" s="257">
        <f t="shared" si="0"/>
        <v>105.39</v>
      </c>
    </row>
    <row r="55" spans="1:4">
      <c r="A55" s="251" t="s">
        <v>44</v>
      </c>
      <c r="C55" s="266">
        <f>SUM(C47:C54)</f>
        <v>0.398</v>
      </c>
      <c r="D55" s="257">
        <f>TRUNC((SUM(D47:D54)),2)</f>
        <v>524.31</v>
      </c>
    </row>
    <row r="56" spans="1:4">
      <c r="A56" s="251"/>
      <c r="C56" s="266"/>
      <c r="D56" s="257"/>
    </row>
    <row r="57" spans="1:4">
      <c r="A57" s="250" t="s">
        <v>81</v>
      </c>
      <c r="B57" s="250"/>
      <c r="C57" s="250"/>
      <c r="D57" s="250"/>
    </row>
    <row r="58" spans="1:4">
      <c r="A58" s="251" t="s">
        <v>82</v>
      </c>
      <c r="B58" s="255" t="s">
        <v>83</v>
      </c>
      <c r="C58" s="251" t="s">
        <v>4</v>
      </c>
      <c r="D58" s="251" t="s">
        <v>5</v>
      </c>
    </row>
    <row r="59" spans="1:4">
      <c r="A59" s="251" t="s">
        <v>28</v>
      </c>
      <c r="B59" t="s">
        <v>84</v>
      </c>
      <c r="C59" s="252"/>
      <c r="D59" s="268">
        <v>0</v>
      </c>
    </row>
    <row r="60" spans="1:4">
      <c r="A60" s="251" t="s">
        <v>31</v>
      </c>
      <c r="B60" t="s">
        <v>85</v>
      </c>
      <c r="C60" s="252" t="str">
        <f>C9</f>
        <v>CCT PB000047/2021</v>
      </c>
      <c r="D60" s="200">
        <f>TRUNC((((22*18))-(((22*18))*0.2)),2)</f>
        <v>316.8</v>
      </c>
    </row>
    <row r="61" spans="1:4">
      <c r="A61" s="251" t="s">
        <v>34</v>
      </c>
      <c r="B61" t="s">
        <v>86</v>
      </c>
      <c r="C61" s="252"/>
      <c r="D61" s="200">
        <v>0</v>
      </c>
    </row>
    <row r="62" spans="1:6">
      <c r="A62" s="269" t="s">
        <v>36</v>
      </c>
      <c r="B62" s="270" t="s">
        <v>192</v>
      </c>
      <c r="C62" s="271"/>
      <c r="D62" s="271">
        <v>0</v>
      </c>
      <c r="F62" s="270"/>
    </row>
    <row r="63" spans="1:4">
      <c r="A63" s="251" t="s">
        <v>39</v>
      </c>
      <c r="B63" s="255" t="s">
        <v>193</v>
      </c>
      <c r="C63" s="252" t="str">
        <f>C60</f>
        <v>CCT PB000047/2021</v>
      </c>
      <c r="D63" s="200">
        <v>15</v>
      </c>
    </row>
    <row r="64" spans="1:4">
      <c r="A64" s="251" t="s">
        <v>41</v>
      </c>
      <c r="B64" s="272" t="s">
        <v>194</v>
      </c>
      <c r="C64" s="271" t="str">
        <f>C60</f>
        <v>CCT PB000047/2021</v>
      </c>
      <c r="D64" s="200">
        <v>5</v>
      </c>
    </row>
    <row r="65" spans="1:4">
      <c r="A65" s="251" t="s">
        <v>44</v>
      </c>
      <c r="D65" s="257">
        <f>TRUNC((SUM(D59:D64)),2)</f>
        <v>336.8</v>
      </c>
    </row>
    <row r="66" spans="1:4">
      <c r="A66" s="251"/>
      <c r="D66" s="257"/>
    </row>
    <row r="67" spans="1:4">
      <c r="A67" s="250" t="s">
        <v>91</v>
      </c>
      <c r="B67" s="250"/>
      <c r="C67" s="250"/>
      <c r="D67" s="250"/>
    </row>
    <row r="68" spans="1:4">
      <c r="A68" s="251" t="s">
        <v>92</v>
      </c>
      <c r="B68" s="255" t="s">
        <v>93</v>
      </c>
      <c r="C68" s="251" t="s">
        <v>4</v>
      </c>
      <c r="D68" s="251" t="s">
        <v>5</v>
      </c>
    </row>
    <row r="69" spans="1:4">
      <c r="A69" s="251" t="s">
        <v>51</v>
      </c>
      <c r="B69" t="s">
        <v>52</v>
      </c>
      <c r="C69" s="251"/>
      <c r="D69" s="257">
        <f>D39</f>
        <v>214.46</v>
      </c>
    </row>
    <row r="70" spans="1:4">
      <c r="A70" s="251" t="s">
        <v>64</v>
      </c>
      <c r="B70" t="s">
        <v>65</v>
      </c>
      <c r="C70" s="251"/>
      <c r="D70" s="257">
        <f>D55</f>
        <v>524.31</v>
      </c>
    </row>
    <row r="71" spans="1:4">
      <c r="A71" s="251" t="s">
        <v>82</v>
      </c>
      <c r="B71" t="s">
        <v>83</v>
      </c>
      <c r="C71" s="251"/>
      <c r="D71" s="257">
        <f>D65</f>
        <v>336.8</v>
      </c>
    </row>
    <row r="72" spans="1:4">
      <c r="A72" s="251" t="s">
        <v>44</v>
      </c>
      <c r="C72" s="251"/>
      <c r="D72" s="257">
        <f>TRUNC((SUM(D69:D71)),2)</f>
        <v>1075.57</v>
      </c>
    </row>
    <row r="74" spans="1:4">
      <c r="A74" s="234" t="s">
        <v>94</v>
      </c>
      <c r="B74" s="234"/>
      <c r="C74" s="234"/>
      <c r="D74" s="234"/>
    </row>
    <row r="75" spans="1:4">
      <c r="A75" s="251" t="s">
        <v>95</v>
      </c>
      <c r="B75" s="255" t="s">
        <v>96</v>
      </c>
      <c r="C75" s="251" t="s">
        <v>24</v>
      </c>
      <c r="D75" s="251" t="s">
        <v>5</v>
      </c>
    </row>
    <row r="76" spans="1:4">
      <c r="A76" s="251" t="s">
        <v>28</v>
      </c>
      <c r="B76" t="s">
        <v>97</v>
      </c>
      <c r="C76" s="267">
        <f>((1/12)*5%)</f>
        <v>0.00416666666666667</v>
      </c>
      <c r="D76" s="295">
        <f>TRUNC(($D$31*C76),2)</f>
        <v>4.59</v>
      </c>
    </row>
    <row r="77" spans="1:4">
      <c r="A77" s="251" t="s">
        <v>31</v>
      </c>
      <c r="B77" t="s">
        <v>98</v>
      </c>
      <c r="C77" s="273">
        <v>0.08</v>
      </c>
      <c r="D77" s="296">
        <f>TRUNC(($D$76*C77),2)</f>
        <v>0.36</v>
      </c>
    </row>
    <row r="78" spans="1:4">
      <c r="A78" s="251" t="s">
        <v>34</v>
      </c>
      <c r="B78" s="274" t="s">
        <v>99</v>
      </c>
      <c r="C78" s="275">
        <f>(0.08*0.4*0.05)</f>
        <v>0.0016</v>
      </c>
      <c r="D78" s="295">
        <f>TRUNC(($D$31*C78),2)</f>
        <v>1.76</v>
      </c>
    </row>
    <row r="79" spans="1:4">
      <c r="A79" s="251" t="s">
        <v>36</v>
      </c>
      <c r="B79" t="s">
        <v>100</v>
      </c>
      <c r="C79" s="276">
        <f>(((7/30)/12)*0.95)</f>
        <v>0.0184722222222222</v>
      </c>
      <c r="D79" s="297">
        <f>TRUNC(($D$31*C79),2)</f>
        <v>20.37</v>
      </c>
    </row>
    <row r="80" spans="1:4">
      <c r="A80" s="251" t="s">
        <v>39</v>
      </c>
      <c r="B80" s="274" t="s">
        <v>195</v>
      </c>
      <c r="C80" s="275">
        <f>C55</f>
        <v>0.398</v>
      </c>
      <c r="D80" s="295">
        <f>TRUNC(($D$79*C80),2)</f>
        <v>8.1</v>
      </c>
    </row>
    <row r="81" spans="1:4">
      <c r="A81" s="251" t="s">
        <v>41</v>
      </c>
      <c r="B81" s="274" t="s">
        <v>101</v>
      </c>
      <c r="C81" s="275">
        <f>(0.08*0.4*0.95)</f>
        <v>0.0304</v>
      </c>
      <c r="D81" s="295">
        <f>TRUNC(($D$31*C81),2)</f>
        <v>33.53</v>
      </c>
    </row>
    <row r="82" spans="1:4">
      <c r="A82" s="251" t="s">
        <v>44</v>
      </c>
      <c r="C82" s="273">
        <f>SUM(C76:C81)</f>
        <v>0.532638888888889</v>
      </c>
      <c r="D82" s="257">
        <f>TRUNC((SUM(D76:D81)),2)</f>
        <v>68.71</v>
      </c>
    </row>
    <row r="83" ht="15.75" spans="1:4">
      <c r="A83" s="251"/>
      <c r="D83" s="257"/>
    </row>
    <row r="84" ht="16.5" spans="1:4">
      <c r="A84" s="261" t="s">
        <v>196</v>
      </c>
      <c r="B84" s="261"/>
      <c r="C84" s="262" t="s">
        <v>188</v>
      </c>
      <c r="D84" s="263">
        <f>D31</f>
        <v>1103</v>
      </c>
    </row>
    <row r="85" ht="16.5" spans="1:4">
      <c r="A85" s="261"/>
      <c r="B85" s="261"/>
      <c r="C85" s="264" t="s">
        <v>197</v>
      </c>
      <c r="D85" s="263">
        <f>D72</f>
        <v>1075.57</v>
      </c>
    </row>
    <row r="86" ht="16.5" spans="1:4">
      <c r="A86" s="261"/>
      <c r="B86" s="261"/>
      <c r="C86" s="262" t="s">
        <v>198</v>
      </c>
      <c r="D86" s="263">
        <f>D82</f>
        <v>68.71</v>
      </c>
    </row>
    <row r="87" ht="16.5" spans="1:4">
      <c r="A87" s="261"/>
      <c r="B87" s="261"/>
      <c r="C87" s="264" t="s">
        <v>190</v>
      </c>
      <c r="D87" s="265">
        <f>TRUNC((SUM(D84:D86)),2)</f>
        <v>2247.28</v>
      </c>
    </row>
    <row r="88" ht="15.75" spans="1:4">
      <c r="A88" s="251"/>
      <c r="D88" s="257"/>
    </row>
    <row r="89" spans="1:4">
      <c r="A89" s="278" t="s">
        <v>113</v>
      </c>
      <c r="B89" s="278"/>
      <c r="C89" s="278"/>
      <c r="D89" s="278"/>
    </row>
    <row r="90" spans="1:4">
      <c r="A90" s="250" t="s">
        <v>114</v>
      </c>
      <c r="B90" s="250"/>
      <c r="C90" s="250"/>
      <c r="D90" s="250"/>
    </row>
    <row r="91" spans="1:4">
      <c r="A91" s="251" t="s">
        <v>115</v>
      </c>
      <c r="B91" s="255" t="s">
        <v>116</v>
      </c>
      <c r="C91" s="251" t="s">
        <v>24</v>
      </c>
      <c r="D91" s="251" t="s">
        <v>5</v>
      </c>
    </row>
    <row r="92" spans="1:4">
      <c r="A92" s="251" t="s">
        <v>28</v>
      </c>
      <c r="B92" t="s">
        <v>199</v>
      </c>
      <c r="C92" s="273">
        <f>(((1+1/3)/12)/12)+((1/12)/12)</f>
        <v>0.0162037037037037</v>
      </c>
      <c r="D92" s="257">
        <f>TRUNC(($D$87*C92),2)</f>
        <v>36.41</v>
      </c>
    </row>
    <row r="93" spans="1:4">
      <c r="A93" s="251" t="s">
        <v>31</v>
      </c>
      <c r="B93" t="s">
        <v>119</v>
      </c>
      <c r="C93" s="267">
        <f>((2/30)/12)</f>
        <v>0.00555555555555556</v>
      </c>
      <c r="D93" s="271">
        <f t="shared" ref="D92:D96" si="1">TRUNC(($D$87*C93),2)</f>
        <v>12.48</v>
      </c>
    </row>
    <row r="94" spans="1:4">
      <c r="A94" s="251" t="s">
        <v>34</v>
      </c>
      <c r="B94" t="s">
        <v>120</v>
      </c>
      <c r="C94" s="267">
        <f>((5/30)/12)*0.02</f>
        <v>0.000277777777777778</v>
      </c>
      <c r="D94" s="271">
        <f t="shared" si="1"/>
        <v>0.62</v>
      </c>
    </row>
    <row r="95" spans="1:4">
      <c r="A95" s="269" t="s">
        <v>36</v>
      </c>
      <c r="B95" s="274" t="s">
        <v>121</v>
      </c>
      <c r="C95" s="275">
        <f>((15/30)/12)*0.08</f>
        <v>0.00333333333333333</v>
      </c>
      <c r="D95" s="271">
        <f t="shared" si="1"/>
        <v>7.49</v>
      </c>
    </row>
    <row r="96" spans="1:4">
      <c r="A96" s="251" t="s">
        <v>39</v>
      </c>
      <c r="B96" t="s">
        <v>122</v>
      </c>
      <c r="C96" s="267">
        <f>((1+1/3)/12)*0.03*((4/12))</f>
        <v>0.00111111111111111</v>
      </c>
      <c r="D96" s="271">
        <f t="shared" si="1"/>
        <v>2.49</v>
      </c>
    </row>
    <row r="97" spans="1:4">
      <c r="A97" s="251" t="s">
        <v>41</v>
      </c>
      <c r="B97" s="274" t="s">
        <v>200</v>
      </c>
      <c r="C97" s="279">
        <v>0</v>
      </c>
      <c r="D97" s="271">
        <f>TRUNC($D$87*C97)</f>
        <v>0</v>
      </c>
    </row>
    <row r="98" spans="1:4">
      <c r="A98" s="251" t="s">
        <v>44</v>
      </c>
      <c r="C98" s="273">
        <f>SUM(C92:C97)</f>
        <v>0.0264814814814815</v>
      </c>
      <c r="D98" s="257">
        <f>TRUNC((SUM(D92:D97)),2)</f>
        <v>59.49</v>
      </c>
    </row>
    <row r="99" spans="1:4">
      <c r="A99" s="251"/>
      <c r="C99" s="251"/>
      <c r="D99" s="257"/>
    </row>
    <row r="100" spans="1:4">
      <c r="A100" s="250" t="s">
        <v>130</v>
      </c>
      <c r="B100" s="250"/>
      <c r="C100" s="250"/>
      <c r="D100" s="250"/>
    </row>
    <row r="101" spans="1:4">
      <c r="A101" s="251" t="s">
        <v>131</v>
      </c>
      <c r="B101" s="255" t="s">
        <v>132</v>
      </c>
      <c r="C101" s="251" t="s">
        <v>4</v>
      </c>
      <c r="D101" s="251" t="s">
        <v>5</v>
      </c>
    </row>
    <row r="102" ht="75" spans="1:4">
      <c r="A102" s="269" t="s">
        <v>28</v>
      </c>
      <c r="B102" s="280" t="s">
        <v>133</v>
      </c>
      <c r="C102" s="211" t="s">
        <v>201</v>
      </c>
      <c r="D102" s="298" t="s">
        <v>202</v>
      </c>
    </row>
    <row r="103" spans="1:4">
      <c r="A103" s="251" t="s">
        <v>44</v>
      </c>
      <c r="C103" s="281"/>
      <c r="D103" s="299" t="str">
        <f>D102</f>
        <v>*=TRUNCAR(($D$86/220)*(1*(365/12))/2)</v>
      </c>
    </row>
    <row r="105" spans="1:4">
      <c r="A105" s="250" t="s">
        <v>134</v>
      </c>
      <c r="B105" s="250"/>
      <c r="C105" s="250"/>
      <c r="D105" s="250"/>
    </row>
    <row r="106" spans="1:4">
      <c r="A106" s="251" t="s">
        <v>135</v>
      </c>
      <c r="B106" s="255" t="s">
        <v>136</v>
      </c>
      <c r="C106" s="251" t="s">
        <v>4</v>
      </c>
      <c r="D106" s="251" t="s">
        <v>5</v>
      </c>
    </row>
    <row r="107" spans="1:4">
      <c r="A107" s="251" t="s">
        <v>115</v>
      </c>
      <c r="B107" t="s">
        <v>116</v>
      </c>
      <c r="D107" s="200">
        <f>D98</f>
        <v>59.49</v>
      </c>
    </row>
    <row r="108" spans="1:4">
      <c r="A108" s="251" t="s">
        <v>131</v>
      </c>
      <c r="B108" t="s">
        <v>137</v>
      </c>
      <c r="C108" s="255"/>
      <c r="D108" s="282" t="str">
        <f>Submódulo4.260_42[[#Totals],[Valor]]</f>
        <v>*=TRUNCAR(($D$86/220)*(1*(365/12))/2)</v>
      </c>
    </row>
    <row r="109" ht="45" spans="1:4">
      <c r="A109" s="269" t="s">
        <v>44</v>
      </c>
      <c r="B109" s="270"/>
      <c r="C109" s="211" t="s">
        <v>203</v>
      </c>
      <c r="D109" s="283">
        <f>TRUNC((SUM(D107:D108)),2)</f>
        <v>59.49</v>
      </c>
    </row>
    <row r="111" spans="1:4">
      <c r="A111" s="234" t="s">
        <v>138</v>
      </c>
      <c r="B111" s="234"/>
      <c r="C111" s="234"/>
      <c r="D111" s="234"/>
    </row>
    <row r="112" spans="1:4">
      <c r="A112" s="251" t="s">
        <v>139</v>
      </c>
      <c r="B112" s="255" t="s">
        <v>140</v>
      </c>
      <c r="C112" s="251" t="s">
        <v>4</v>
      </c>
      <c r="D112" s="251" t="s">
        <v>5</v>
      </c>
    </row>
    <row r="113" spans="1:4">
      <c r="A113" s="251" t="s">
        <v>28</v>
      </c>
      <c r="B113" s="156" t="s">
        <v>204</v>
      </c>
      <c r="C113" s="300"/>
      <c r="D113" s="183">
        <f>Uniformes!G24</f>
        <v>92.4</v>
      </c>
    </row>
    <row r="114" spans="1:4">
      <c r="A114" s="251" t="s">
        <v>31</v>
      </c>
      <c r="B114" s="156" t="s">
        <v>205</v>
      </c>
      <c r="C114" s="300"/>
      <c r="D114" s="284">
        <f>EPC!E21</f>
        <v>17.95</v>
      </c>
    </row>
    <row r="115" spans="1:4">
      <c r="A115" s="251" t="s">
        <v>34</v>
      </c>
      <c r="B115" s="156" t="s">
        <v>142</v>
      </c>
      <c r="C115" s="156"/>
      <c r="D115" s="183">
        <v>0</v>
      </c>
    </row>
    <row r="116" spans="1:4">
      <c r="A116" s="251" t="s">
        <v>36</v>
      </c>
      <c r="B116" s="156" t="s">
        <v>143</v>
      </c>
      <c r="C116" s="156"/>
      <c r="D116" s="183">
        <v>0</v>
      </c>
    </row>
    <row r="117" spans="1:4">
      <c r="A117" s="251" t="s">
        <v>39</v>
      </c>
      <c r="B117" s="156" t="s">
        <v>206</v>
      </c>
      <c r="C117" s="300"/>
      <c r="D117" s="284">
        <f>H116</f>
        <v>0</v>
      </c>
    </row>
    <row r="118" spans="1:4">
      <c r="A118" s="251" t="s">
        <v>44</v>
      </c>
      <c r="D118" s="257">
        <f>TRUNC(SUM(D113:D117),2)</f>
        <v>110.35</v>
      </c>
    </row>
    <row r="120" ht="16.5" spans="1:4">
      <c r="A120" s="261" t="s">
        <v>207</v>
      </c>
      <c r="B120" s="261"/>
      <c r="C120" s="262" t="s">
        <v>188</v>
      </c>
      <c r="D120" s="263">
        <f>D31</f>
        <v>1103</v>
      </c>
    </row>
    <row r="121" ht="16.5" spans="1:4">
      <c r="A121" s="261"/>
      <c r="B121" s="261"/>
      <c r="C121" s="264" t="s">
        <v>197</v>
      </c>
      <c r="D121" s="263">
        <f>D72</f>
        <v>1075.57</v>
      </c>
    </row>
    <row r="122" ht="16.5" spans="1:4">
      <c r="A122" s="261"/>
      <c r="B122" s="261"/>
      <c r="C122" s="262" t="s">
        <v>198</v>
      </c>
      <c r="D122" s="263">
        <f>D82</f>
        <v>68.71</v>
      </c>
    </row>
    <row r="123" ht="16.5" spans="1:4">
      <c r="A123" s="261"/>
      <c r="B123" s="261"/>
      <c r="C123" s="264" t="s">
        <v>208</v>
      </c>
      <c r="D123" s="263">
        <f>D109</f>
        <v>59.49</v>
      </c>
    </row>
    <row r="124" ht="16.5" spans="1:4">
      <c r="A124" s="261"/>
      <c r="B124" s="261"/>
      <c r="C124" s="262" t="s">
        <v>209</v>
      </c>
      <c r="D124" s="263">
        <f>D118</f>
        <v>110.35</v>
      </c>
    </row>
    <row r="125" ht="16.5" spans="1:4">
      <c r="A125" s="261"/>
      <c r="B125" s="261"/>
      <c r="C125" s="264" t="s">
        <v>190</v>
      </c>
      <c r="D125" s="265">
        <f>TRUNC((SUM(D120:D124)),2)</f>
        <v>2417.12</v>
      </c>
    </row>
    <row r="126" ht="15.75"/>
    <row r="127" spans="1:4">
      <c r="A127" s="234" t="s">
        <v>150</v>
      </c>
      <c r="B127" s="234"/>
      <c r="C127" s="234"/>
      <c r="D127" s="234"/>
    </row>
    <row r="128" spans="1:7">
      <c r="A128" s="251" t="s">
        <v>151</v>
      </c>
      <c r="B128" t="s">
        <v>152</v>
      </c>
      <c r="C128" s="251" t="s">
        <v>24</v>
      </c>
      <c r="D128" s="251" t="s">
        <v>5</v>
      </c>
      <c r="F128" s="285" t="s">
        <v>210</v>
      </c>
      <c r="G128" s="285"/>
    </row>
    <row r="129" ht="15.75" spans="1:7">
      <c r="A129" s="251" t="s">
        <v>28</v>
      </c>
      <c r="B129" t="s">
        <v>153</v>
      </c>
      <c r="C129" s="196">
        <v>0.044</v>
      </c>
      <c r="D129" s="183">
        <f>TRUNC(($D$125*C129),2)</f>
        <v>106.35</v>
      </c>
      <c r="F129" s="286" t="s">
        <v>211</v>
      </c>
      <c r="G129" s="275">
        <f>C131</f>
        <v>0.0865</v>
      </c>
    </row>
    <row r="130" ht="15.75" spans="1:7">
      <c r="A130" s="251" t="s">
        <v>31</v>
      </c>
      <c r="B130" t="s">
        <v>45</v>
      </c>
      <c r="C130" s="196">
        <v>0.0413</v>
      </c>
      <c r="D130" s="183">
        <f>TRUNC((C130*(D125+D129)),2)</f>
        <v>104.21</v>
      </c>
      <c r="F130" s="287" t="s">
        <v>212</v>
      </c>
      <c r="G130" s="301">
        <f>TRUNC(SUM(D125,D129,D130),2)</f>
        <v>2627.68</v>
      </c>
    </row>
    <row r="131" spans="1:7">
      <c r="A131" s="251" t="s">
        <v>34</v>
      </c>
      <c r="B131" t="s">
        <v>154</v>
      </c>
      <c r="C131" s="267">
        <f>SUM(C132:C134)</f>
        <v>0.0865</v>
      </c>
      <c r="D131" s="200">
        <f>TRUNC((SUM(D132:D134)),2)</f>
        <v>248.8</v>
      </c>
      <c r="F131" s="286" t="s">
        <v>213</v>
      </c>
      <c r="G131" s="289">
        <f>(100-8.65)/100</f>
        <v>0.9135</v>
      </c>
    </row>
    <row r="132" ht="15.75" spans="1:7">
      <c r="A132" s="251"/>
      <c r="B132" t="s">
        <v>214</v>
      </c>
      <c r="C132" s="267">
        <v>0.0065</v>
      </c>
      <c r="D132" s="200">
        <f t="shared" ref="D132:D134" si="2">TRUNC(($G$132*C132),2)</f>
        <v>18.69</v>
      </c>
      <c r="F132" s="287" t="s">
        <v>210</v>
      </c>
      <c r="G132" s="301">
        <f>TRUNC((G130/G131),2)</f>
        <v>2876.49</v>
      </c>
    </row>
    <row r="133" ht="15.75" spans="1:4">
      <c r="A133" s="251"/>
      <c r="B133" t="s">
        <v>215</v>
      </c>
      <c r="C133" s="267">
        <v>0.03</v>
      </c>
      <c r="D133" s="200">
        <f t="shared" si="2"/>
        <v>86.29</v>
      </c>
    </row>
    <row r="134" spans="1:4">
      <c r="A134" s="251"/>
      <c r="B134" t="s">
        <v>216</v>
      </c>
      <c r="C134" s="267">
        <v>0.05</v>
      </c>
      <c r="D134" s="200">
        <f t="shared" si="2"/>
        <v>143.82</v>
      </c>
    </row>
    <row r="135" spans="1:4">
      <c r="A135" s="251" t="s">
        <v>44</v>
      </c>
      <c r="C135" s="290"/>
      <c r="D135" s="257">
        <f>TRUNC(SUM(D129:D131),2)</f>
        <v>459.36</v>
      </c>
    </row>
    <row r="136" spans="1:4">
      <c r="A136" s="251"/>
      <c r="C136" s="290"/>
      <c r="D136" s="257"/>
    </row>
    <row r="138" spans="1:4">
      <c r="A138" s="234" t="s">
        <v>158</v>
      </c>
      <c r="B138" s="234"/>
      <c r="C138" s="234"/>
      <c r="D138" s="234"/>
    </row>
    <row r="139" spans="1:4">
      <c r="A139" s="251" t="s">
        <v>2</v>
      </c>
      <c r="B139" s="251" t="s">
        <v>159</v>
      </c>
      <c r="C139" s="251" t="s">
        <v>88</v>
      </c>
      <c r="D139" s="251" t="s">
        <v>5</v>
      </c>
    </row>
    <row r="140" spans="1:4">
      <c r="A140" s="251" t="s">
        <v>28</v>
      </c>
      <c r="B140" t="s">
        <v>22</v>
      </c>
      <c r="D140" s="257">
        <f>D31</f>
        <v>1103</v>
      </c>
    </row>
    <row r="141" spans="1:4">
      <c r="A141" s="251" t="s">
        <v>31</v>
      </c>
      <c r="B141" t="s">
        <v>47</v>
      </c>
      <c r="D141" s="257">
        <f>D72</f>
        <v>1075.57</v>
      </c>
    </row>
    <row r="142" spans="1:4">
      <c r="A142" s="251" t="s">
        <v>34</v>
      </c>
      <c r="B142" t="s">
        <v>94</v>
      </c>
      <c r="D142" s="257">
        <f>D82</f>
        <v>68.71</v>
      </c>
    </row>
    <row r="143" spans="1:4">
      <c r="A143" s="251" t="s">
        <v>36</v>
      </c>
      <c r="B143" t="s">
        <v>160</v>
      </c>
      <c r="D143" s="257">
        <f>D109</f>
        <v>59.49</v>
      </c>
    </row>
    <row r="144" spans="1:4">
      <c r="A144" s="251" t="s">
        <v>39</v>
      </c>
      <c r="B144" t="s">
        <v>138</v>
      </c>
      <c r="D144" s="257">
        <f>D118</f>
        <v>110.35</v>
      </c>
    </row>
    <row r="145" spans="2:4">
      <c r="B145" s="291" t="s">
        <v>161</v>
      </c>
      <c r="D145" s="257">
        <f>SUM(D140:D144)</f>
        <v>2417.12</v>
      </c>
    </row>
    <row r="146" spans="1:4">
      <c r="A146" s="251" t="s">
        <v>41</v>
      </c>
      <c r="B146" t="s">
        <v>150</v>
      </c>
      <c r="D146" s="257">
        <f>D135</f>
        <v>459.36</v>
      </c>
    </row>
    <row r="147" spans="1:4">
      <c r="A147" s="292"/>
      <c r="B147" s="293" t="s">
        <v>217</v>
      </c>
      <c r="C147" s="292"/>
      <c r="D147" s="294">
        <f>TRUNC((SUM(D140:D144)+D146),2)</f>
        <v>2876.48</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topLeftCell="A129" workbookViewId="0">
      <selection activeCell="A2" sqref="A2:D149"/>
    </sheetView>
  </sheetViews>
  <sheetFormatPr defaultColWidth="9.14285714285714" defaultRowHeight="15" outlineLevelCol="6"/>
  <cols>
    <col min="1" max="1" width="10.8571428571429" customWidth="1"/>
    <col min="2" max="2" width="50.2857142857143" customWidth="1"/>
    <col min="3" max="3" width="25.4285714285714" customWidth="1"/>
    <col min="4" max="4" width="36.7142857142857" customWidth="1"/>
    <col min="6" max="6" width="22.8571428571429" customWidth="1"/>
    <col min="7" max="7" width="13.647619047619" customWidth="1"/>
    <col min="8" max="8" width="10.952380952381" customWidth="1"/>
    <col min="9" max="9" width="11.4285714285714" customWidth="1"/>
  </cols>
  <sheetData>
    <row r="2" ht="19.5" spans="1:4">
      <c r="A2" s="227" t="s">
        <v>163</v>
      </c>
      <c r="B2" s="227"/>
      <c r="C2" s="227"/>
      <c r="D2" s="227"/>
    </row>
    <row r="3" ht="15.75" spans="1:4">
      <c r="A3" s="228" t="s">
        <v>164</v>
      </c>
      <c r="B3" s="228"/>
      <c r="C3" s="228"/>
      <c r="D3" s="228"/>
    </row>
    <row r="4" spans="1:4">
      <c r="A4" s="229" t="s">
        <v>165</v>
      </c>
      <c r="B4" s="230" t="s">
        <v>166</v>
      </c>
      <c r="C4" s="231"/>
      <c r="D4" s="231"/>
    </row>
    <row r="5" spans="1:4">
      <c r="A5" s="232"/>
      <c r="B5" s="233"/>
      <c r="C5" s="233"/>
      <c r="D5" s="233"/>
    </row>
    <row r="6" ht="15.75" spans="1:4">
      <c r="A6" s="234" t="s">
        <v>167</v>
      </c>
      <c r="B6" s="234"/>
      <c r="C6" s="234"/>
      <c r="D6" s="234"/>
    </row>
    <row r="7" ht="15.75" spans="1:4">
      <c r="A7" s="235" t="s">
        <v>28</v>
      </c>
      <c r="B7" s="236" t="s">
        <v>168</v>
      </c>
      <c r="C7" s="237" t="s">
        <v>169</v>
      </c>
      <c r="D7" s="237"/>
    </row>
    <row r="8" spans="1:4">
      <c r="A8" s="238" t="s">
        <v>31</v>
      </c>
      <c r="B8" s="239" t="s">
        <v>170</v>
      </c>
      <c r="C8" s="240" t="s">
        <v>171</v>
      </c>
      <c r="D8" s="240"/>
    </row>
    <row r="9" spans="1:4">
      <c r="A9" s="241" t="s">
        <v>34</v>
      </c>
      <c r="B9" s="242" t="s">
        <v>172</v>
      </c>
      <c r="C9" s="240" t="s">
        <v>221</v>
      </c>
      <c r="D9" s="240"/>
    </row>
    <row r="10" spans="1:4">
      <c r="A10" s="238" t="s">
        <v>39</v>
      </c>
      <c r="B10" s="239" t="s">
        <v>174</v>
      </c>
      <c r="C10" s="240" t="s">
        <v>175</v>
      </c>
      <c r="D10" s="240"/>
    </row>
    <row r="11" ht="15.75" spans="1:4">
      <c r="A11" s="243" t="s">
        <v>176</v>
      </c>
      <c r="B11" s="243"/>
      <c r="C11" s="243"/>
      <c r="D11" s="243"/>
    </row>
    <row r="12" ht="16.5" spans="1:4">
      <c r="A12" s="244" t="s">
        <v>177</v>
      </c>
      <c r="B12" s="244"/>
      <c r="C12" s="243" t="s">
        <v>178</v>
      </c>
      <c r="D12" s="245" t="s">
        <v>179</v>
      </c>
    </row>
    <row r="13" ht="15.75" spans="1:4">
      <c r="A13" s="246" t="s">
        <v>222</v>
      </c>
      <c r="B13" s="246"/>
      <c r="C13" s="240" t="s">
        <v>181</v>
      </c>
      <c r="D13" s="247">
        <f>RESUMO!D5</f>
        <v>2</v>
      </c>
    </row>
    <row r="14" spans="1:4">
      <c r="A14" s="248"/>
      <c r="B14" s="248"/>
      <c r="C14" s="240"/>
      <c r="D14" s="249"/>
    </row>
    <row r="15" ht="15.75" spans="1:7">
      <c r="A15" s="243" t="s">
        <v>0</v>
      </c>
      <c r="B15" s="243"/>
      <c r="C15" s="243"/>
      <c r="D15" s="243"/>
      <c r="F15" s="250"/>
      <c r="G15" s="250"/>
    </row>
    <row r="16" ht="15.75" spans="1:4">
      <c r="A16" s="251" t="s">
        <v>2</v>
      </c>
      <c r="B16" t="s">
        <v>3</v>
      </c>
      <c r="C16" s="251" t="s">
        <v>4</v>
      </c>
      <c r="D16" s="251" t="s">
        <v>5</v>
      </c>
    </row>
    <row r="17" spans="1:4">
      <c r="A17" s="251">
        <v>1</v>
      </c>
      <c r="B17" t="s">
        <v>6</v>
      </c>
      <c r="C17" s="252" t="s">
        <v>88</v>
      </c>
      <c r="D17" s="252" t="str">
        <f>A13</f>
        <v>Motorista Interestadual</v>
      </c>
    </row>
    <row r="18" spans="1:4">
      <c r="A18" s="251">
        <v>2</v>
      </c>
      <c r="B18" t="s">
        <v>9</v>
      </c>
      <c r="C18" s="252" t="s">
        <v>182</v>
      </c>
      <c r="D18" s="252" t="s">
        <v>223</v>
      </c>
    </row>
    <row r="19" spans="1:4">
      <c r="A19" s="251">
        <v>3</v>
      </c>
      <c r="B19" t="s">
        <v>12</v>
      </c>
      <c r="C19" s="252" t="str">
        <f>C9</f>
        <v>CCT PB000035/2019*</v>
      </c>
      <c r="D19" s="200">
        <v>2629</v>
      </c>
    </row>
    <row r="20" spans="1:4">
      <c r="A20" s="251">
        <v>4</v>
      </c>
      <c r="B20" t="s">
        <v>15</v>
      </c>
      <c r="C20" s="252" t="str">
        <f>C9</f>
        <v>CCT PB000035/2019*</v>
      </c>
      <c r="D20" s="253" t="s">
        <v>224</v>
      </c>
    </row>
    <row r="21" spans="1:4">
      <c r="A21" s="251">
        <v>5</v>
      </c>
      <c r="B21" t="s">
        <v>19</v>
      </c>
      <c r="C21" s="252" t="str">
        <f>C9</f>
        <v>CCT PB000035/2019*</v>
      </c>
      <c r="D21" s="254" t="s">
        <v>185</v>
      </c>
    </row>
    <row r="22" spans="6:7">
      <c r="F22" s="250"/>
      <c r="G22" s="250"/>
    </row>
    <row r="23" spans="1:4">
      <c r="A23" s="234" t="s">
        <v>22</v>
      </c>
      <c r="B23" s="234"/>
      <c r="C23" s="234"/>
      <c r="D23" s="234"/>
    </row>
    <row r="24" spans="1:7">
      <c r="A24" s="251" t="s">
        <v>25</v>
      </c>
      <c r="B24" s="255" t="s">
        <v>26</v>
      </c>
      <c r="C24" s="251" t="s">
        <v>4</v>
      </c>
      <c r="D24" s="251" t="s">
        <v>5</v>
      </c>
      <c r="G24" s="256"/>
    </row>
    <row r="25" spans="1:7">
      <c r="A25" s="251" t="s">
        <v>28</v>
      </c>
      <c r="B25" t="s">
        <v>29</v>
      </c>
      <c r="C25" s="253" t="str">
        <f>C9</f>
        <v>CCT PB000035/2019*</v>
      </c>
      <c r="D25" s="200">
        <f>D19</f>
        <v>2629</v>
      </c>
      <c r="G25" s="256"/>
    </row>
    <row r="26" spans="1:7">
      <c r="A26" s="251" t="s">
        <v>31</v>
      </c>
      <c r="B26" t="s">
        <v>32</v>
      </c>
      <c r="C26" s="253"/>
      <c r="D26" s="200">
        <v>0</v>
      </c>
      <c r="G26" s="256"/>
    </row>
    <row r="27" spans="1:4">
      <c r="A27" s="251" t="s">
        <v>34</v>
      </c>
      <c r="B27" t="s">
        <v>35</v>
      </c>
      <c r="C27" s="253"/>
      <c r="D27" s="200">
        <v>0</v>
      </c>
    </row>
    <row r="28" spans="1:4">
      <c r="A28" s="251" t="s">
        <v>36</v>
      </c>
      <c r="B28" t="s">
        <v>37</v>
      </c>
      <c r="C28" s="253"/>
      <c r="D28" s="200">
        <v>0</v>
      </c>
    </row>
    <row r="29" spans="1:4">
      <c r="A29" s="251" t="s">
        <v>39</v>
      </c>
      <c r="B29" t="s">
        <v>40</v>
      </c>
      <c r="C29" s="253"/>
      <c r="D29" s="200">
        <v>0</v>
      </c>
    </row>
    <row r="30" spans="1:4">
      <c r="A30" s="251" t="s">
        <v>41</v>
      </c>
      <c r="B30" t="s">
        <v>42</v>
      </c>
      <c r="C30" s="253"/>
      <c r="D30" s="200">
        <v>0</v>
      </c>
    </row>
    <row r="31" spans="1:7">
      <c r="A31" s="251" t="s">
        <v>44</v>
      </c>
      <c r="C31" s="251"/>
      <c r="D31" s="257">
        <f>TRUNC(SUM(D25:D30),2)</f>
        <v>2629</v>
      </c>
      <c r="F31" s="250"/>
      <c r="G31" s="250"/>
    </row>
    <row r="33" spans="1:7">
      <c r="A33" s="258" t="s">
        <v>47</v>
      </c>
      <c r="B33" s="258"/>
      <c r="C33" s="258"/>
      <c r="D33" s="258"/>
      <c r="G33" s="256"/>
    </row>
    <row r="35" spans="1:4">
      <c r="A35" s="250" t="s">
        <v>49</v>
      </c>
      <c r="B35" s="250"/>
      <c r="C35" s="250"/>
      <c r="D35" s="250"/>
    </row>
    <row r="36" spans="1:4">
      <c r="A36" s="251" t="s">
        <v>51</v>
      </c>
      <c r="B36" s="255" t="s">
        <v>52</v>
      </c>
      <c r="C36" s="251" t="s">
        <v>24</v>
      </c>
      <c r="D36" s="251" t="s">
        <v>5</v>
      </c>
    </row>
    <row r="37" spans="1:7">
      <c r="A37" s="251" t="s">
        <v>28</v>
      </c>
      <c r="B37" t="s">
        <v>53</v>
      </c>
      <c r="C37" s="259">
        <f>(1/12)</f>
        <v>0.0833333333333333</v>
      </c>
      <c r="D37" s="257">
        <f>TRUNC($D$31*C37,2)</f>
        <v>219.08</v>
      </c>
      <c r="F37" s="260"/>
      <c r="G37" s="260"/>
    </row>
    <row r="38" spans="1:7">
      <c r="A38" s="251" t="s">
        <v>31</v>
      </c>
      <c r="B38" t="s">
        <v>54</v>
      </c>
      <c r="C38" s="259">
        <f>(((1+1/3)/12))</f>
        <v>0.111111111111111</v>
      </c>
      <c r="D38" s="257">
        <f>TRUNC($D$31*C38,2)</f>
        <v>292.11</v>
      </c>
      <c r="F38" s="260"/>
      <c r="G38" s="260"/>
    </row>
    <row r="39" spans="1:7">
      <c r="A39" s="251" t="s">
        <v>44</v>
      </c>
      <c r="D39" s="257">
        <f>TRUNC((SUM(D37:D38)),2)</f>
        <v>511.19</v>
      </c>
      <c r="F39" s="260"/>
      <c r="G39" s="260"/>
    </row>
    <row r="40" ht="15.75" spans="4:7">
      <c r="D40" s="257"/>
      <c r="F40" s="260"/>
      <c r="G40" s="260"/>
    </row>
    <row r="41" ht="16.5" spans="1:7">
      <c r="A41" s="261" t="s">
        <v>187</v>
      </c>
      <c r="B41" s="261"/>
      <c r="C41" s="262" t="s">
        <v>188</v>
      </c>
      <c r="D41" s="263">
        <f>D31</f>
        <v>2629</v>
      </c>
      <c r="F41" s="260"/>
      <c r="G41" s="260"/>
    </row>
    <row r="42" ht="16.5" spans="1:7">
      <c r="A42" s="261"/>
      <c r="B42" s="261"/>
      <c r="C42" s="264" t="s">
        <v>189</v>
      </c>
      <c r="D42" s="263">
        <f>D39</f>
        <v>511.19</v>
      </c>
      <c r="F42" s="260"/>
      <c r="G42" s="260"/>
    </row>
    <row r="43" ht="16.5" spans="1:7">
      <c r="A43" s="261"/>
      <c r="B43" s="261"/>
      <c r="C43" s="262" t="s">
        <v>190</v>
      </c>
      <c r="D43" s="265">
        <f>TRUNC((SUM(D41:D42)),2)</f>
        <v>3140.19</v>
      </c>
      <c r="F43" s="260"/>
      <c r="G43" s="260"/>
    </row>
    <row r="44" ht="15.75" spans="1:7">
      <c r="A44" s="251"/>
      <c r="C44" s="266"/>
      <c r="D44" s="257"/>
      <c r="F44" s="260"/>
      <c r="G44" s="260"/>
    </row>
    <row r="45" spans="1:4">
      <c r="A45" s="250" t="s">
        <v>63</v>
      </c>
      <c r="B45" s="250"/>
      <c r="C45" s="250"/>
      <c r="D45" s="250"/>
    </row>
    <row r="46" spans="1:4">
      <c r="A46" s="251" t="s">
        <v>64</v>
      </c>
      <c r="B46" s="255" t="s">
        <v>65</v>
      </c>
      <c r="C46" s="251" t="s">
        <v>24</v>
      </c>
      <c r="D46" s="251" t="s">
        <v>66</v>
      </c>
    </row>
    <row r="47" spans="1:4">
      <c r="A47" s="251" t="s">
        <v>28</v>
      </c>
      <c r="B47" t="s">
        <v>67</v>
      </c>
      <c r="C47" s="259">
        <v>0.2</v>
      </c>
      <c r="D47" s="257">
        <f t="shared" ref="D47:D54" si="0">TRUNC(($D$43*C47),2)</f>
        <v>628.03</v>
      </c>
    </row>
    <row r="48" spans="1:4">
      <c r="A48" s="251" t="s">
        <v>31</v>
      </c>
      <c r="B48" t="s">
        <v>68</v>
      </c>
      <c r="C48" s="259">
        <v>0.025</v>
      </c>
      <c r="D48" s="257">
        <f t="shared" si="0"/>
        <v>78.5</v>
      </c>
    </row>
    <row r="49" spans="1:4">
      <c r="A49" s="251" t="s">
        <v>34</v>
      </c>
      <c r="B49" t="s">
        <v>191</v>
      </c>
      <c r="C49" s="267">
        <v>0.06</v>
      </c>
      <c r="D49" s="200">
        <f t="shared" si="0"/>
        <v>188.41</v>
      </c>
    </row>
    <row r="50" spans="1:4">
      <c r="A50" s="251" t="s">
        <v>36</v>
      </c>
      <c r="B50" t="s">
        <v>70</v>
      </c>
      <c r="C50" s="259">
        <v>0.015</v>
      </c>
      <c r="D50" s="257">
        <f t="shared" si="0"/>
        <v>47.1</v>
      </c>
    </row>
    <row r="51" spans="1:4">
      <c r="A51" s="251" t="s">
        <v>39</v>
      </c>
      <c r="B51" t="s">
        <v>71</v>
      </c>
      <c r="C51" s="259">
        <v>0.01</v>
      </c>
      <c r="D51" s="257">
        <f t="shared" si="0"/>
        <v>31.4</v>
      </c>
    </row>
    <row r="52" spans="1:4">
      <c r="A52" s="251" t="s">
        <v>41</v>
      </c>
      <c r="B52" t="s">
        <v>72</v>
      </c>
      <c r="C52" s="259">
        <v>0.006</v>
      </c>
      <c r="D52" s="257">
        <f t="shared" si="0"/>
        <v>18.84</v>
      </c>
    </row>
    <row r="53" spans="1:4">
      <c r="A53" s="251" t="s">
        <v>73</v>
      </c>
      <c r="B53" t="s">
        <v>74</v>
      </c>
      <c r="C53" s="259">
        <v>0.002</v>
      </c>
      <c r="D53" s="257">
        <f t="shared" si="0"/>
        <v>6.28</v>
      </c>
    </row>
    <row r="54" spans="1:4">
      <c r="A54" s="251" t="s">
        <v>75</v>
      </c>
      <c r="B54" t="s">
        <v>76</v>
      </c>
      <c r="C54" s="259">
        <v>0.08</v>
      </c>
      <c r="D54" s="257">
        <f t="shared" si="0"/>
        <v>251.21</v>
      </c>
    </row>
    <row r="55" spans="1:4">
      <c r="A55" s="251" t="s">
        <v>44</v>
      </c>
      <c r="C55" s="266">
        <f>SUM(C47:C54)</f>
        <v>0.398</v>
      </c>
      <c r="D55" s="257">
        <f>TRUNC((SUM(D47:D54)),2)</f>
        <v>1249.77</v>
      </c>
    </row>
    <row r="56" spans="1:4">
      <c r="A56" s="251"/>
      <c r="C56" s="266"/>
      <c r="D56" s="257"/>
    </row>
    <row r="57" spans="1:4">
      <c r="A57" s="250" t="s">
        <v>81</v>
      </c>
      <c r="B57" s="250"/>
      <c r="C57" s="250"/>
      <c r="D57" s="250"/>
    </row>
    <row r="58" spans="1:4">
      <c r="A58" s="251" t="s">
        <v>82</v>
      </c>
      <c r="B58" s="255" t="s">
        <v>83</v>
      </c>
      <c r="C58" s="251" t="s">
        <v>4</v>
      </c>
      <c r="D58" s="251" t="s">
        <v>5</v>
      </c>
    </row>
    <row r="59" spans="1:4">
      <c r="A59" s="251" t="s">
        <v>28</v>
      </c>
      <c r="B59" t="s">
        <v>84</v>
      </c>
      <c r="C59" s="252"/>
      <c r="D59" s="268">
        <v>0</v>
      </c>
    </row>
    <row r="60" spans="1:4">
      <c r="A60" s="251" t="s">
        <v>31</v>
      </c>
      <c r="B60" t="s">
        <v>85</v>
      </c>
      <c r="C60" s="252" t="str">
        <f>C9</f>
        <v>CCT PB000035/2019*</v>
      </c>
      <c r="D60" s="200">
        <v>600</v>
      </c>
    </row>
    <row r="61" spans="1:4">
      <c r="A61" s="251" t="s">
        <v>34</v>
      </c>
      <c r="B61" t="s">
        <v>86</v>
      </c>
      <c r="C61" s="252"/>
      <c r="D61" s="200">
        <v>0</v>
      </c>
    </row>
    <row r="62" spans="1:6">
      <c r="A62" s="269" t="s">
        <v>36</v>
      </c>
      <c r="B62" s="270" t="s">
        <v>192</v>
      </c>
      <c r="C62" s="271"/>
      <c r="D62" s="271">
        <v>0</v>
      </c>
      <c r="F62" s="270"/>
    </row>
    <row r="63" spans="1:4">
      <c r="A63" s="251" t="s">
        <v>39</v>
      </c>
      <c r="B63" s="255" t="s">
        <v>193</v>
      </c>
      <c r="C63" s="252"/>
      <c r="D63" s="200">
        <v>0</v>
      </c>
    </row>
    <row r="64" spans="1:4">
      <c r="A64" s="251" t="s">
        <v>41</v>
      </c>
      <c r="B64" s="272" t="s">
        <v>194</v>
      </c>
      <c r="C64" s="271"/>
      <c r="D64" s="200">
        <v>0</v>
      </c>
    </row>
    <row r="65" spans="1:4">
      <c r="A65" s="251" t="s">
        <v>44</v>
      </c>
      <c r="D65" s="257">
        <f>TRUNC((SUM(D59:D64)),2)</f>
        <v>600</v>
      </c>
    </row>
    <row r="66" spans="1:4">
      <c r="A66" s="251"/>
      <c r="D66" s="257"/>
    </row>
    <row r="67" spans="1:4">
      <c r="A67" s="250" t="s">
        <v>91</v>
      </c>
      <c r="B67" s="250"/>
      <c r="C67" s="250"/>
      <c r="D67" s="250"/>
    </row>
    <row r="68" spans="1:4">
      <c r="A68" s="251" t="s">
        <v>92</v>
      </c>
      <c r="B68" s="255" t="s">
        <v>93</v>
      </c>
      <c r="C68" s="251" t="s">
        <v>4</v>
      </c>
      <c r="D68" s="251" t="s">
        <v>5</v>
      </c>
    </row>
    <row r="69" spans="1:4">
      <c r="A69" s="251" t="s">
        <v>51</v>
      </c>
      <c r="B69" t="s">
        <v>52</v>
      </c>
      <c r="C69" s="251"/>
      <c r="D69" s="257">
        <f>D39</f>
        <v>511.19</v>
      </c>
    </row>
    <row r="70" spans="1:4">
      <c r="A70" s="251" t="s">
        <v>64</v>
      </c>
      <c r="B70" t="s">
        <v>65</v>
      </c>
      <c r="C70" s="251"/>
      <c r="D70" s="257">
        <f>D55</f>
        <v>1249.77</v>
      </c>
    </row>
    <row r="71" spans="1:4">
      <c r="A71" s="251" t="s">
        <v>82</v>
      </c>
      <c r="B71" t="s">
        <v>83</v>
      </c>
      <c r="C71" s="251"/>
      <c r="D71" s="257">
        <f>D65</f>
        <v>600</v>
      </c>
    </row>
    <row r="72" spans="1:4">
      <c r="A72" s="251" t="s">
        <v>44</v>
      </c>
      <c r="C72" s="251"/>
      <c r="D72" s="257">
        <f>TRUNC(SUM(D69:D71),2)</f>
        <v>2360.96</v>
      </c>
    </row>
    <row r="74" spans="1:4">
      <c r="A74" s="234" t="s">
        <v>94</v>
      </c>
      <c r="B74" s="234"/>
      <c r="C74" s="234"/>
      <c r="D74" s="234"/>
    </row>
    <row r="75" spans="1:4">
      <c r="A75" s="251" t="s">
        <v>95</v>
      </c>
      <c r="B75" s="255" t="s">
        <v>96</v>
      </c>
      <c r="C75" s="251" t="s">
        <v>24</v>
      </c>
      <c r="D75" s="251" t="s">
        <v>5</v>
      </c>
    </row>
    <row r="76" spans="1:4">
      <c r="A76" s="251" t="s">
        <v>28</v>
      </c>
      <c r="B76" t="s">
        <v>97</v>
      </c>
      <c r="C76" s="267">
        <f>((1/12)*5%)</f>
        <v>0.00416666666666667</v>
      </c>
      <c r="D76" s="200">
        <f>TRUNC(($D$31*C76),2)</f>
        <v>10.95</v>
      </c>
    </row>
    <row r="77" spans="1:4">
      <c r="A77" s="251" t="s">
        <v>31</v>
      </c>
      <c r="B77" t="s">
        <v>98</v>
      </c>
      <c r="C77" s="273">
        <v>0.08</v>
      </c>
      <c r="D77" s="257">
        <f>TRUNC(($D$76*C77),2)</f>
        <v>0.87</v>
      </c>
    </row>
    <row r="78" spans="1:4">
      <c r="A78" s="251" t="s">
        <v>34</v>
      </c>
      <c r="B78" s="274" t="s">
        <v>99</v>
      </c>
      <c r="C78" s="275">
        <f>(0.08*0.4*0.05)</f>
        <v>0.0016</v>
      </c>
      <c r="D78" s="271">
        <f>TRUNC(($D$31*C78),2)</f>
        <v>4.2</v>
      </c>
    </row>
    <row r="79" spans="1:4">
      <c r="A79" s="251" t="s">
        <v>36</v>
      </c>
      <c r="B79" t="s">
        <v>100</v>
      </c>
      <c r="C79" s="276">
        <f>(((7/30)/12)*0.95)</f>
        <v>0.0184722222222222</v>
      </c>
      <c r="D79" s="277">
        <f>TRUNC(($D$31*C79),2)</f>
        <v>48.56</v>
      </c>
    </row>
    <row r="80" spans="1:4">
      <c r="A80" s="251" t="s">
        <v>39</v>
      </c>
      <c r="B80" s="274" t="s">
        <v>195</v>
      </c>
      <c r="C80" s="275">
        <f>C55</f>
        <v>0.398</v>
      </c>
      <c r="D80" s="271">
        <f>TRUNC(($D$79*C80),2)</f>
        <v>19.32</v>
      </c>
    </row>
    <row r="81" spans="1:4">
      <c r="A81" s="251" t="s">
        <v>41</v>
      </c>
      <c r="B81" s="274" t="s">
        <v>101</v>
      </c>
      <c r="C81" s="275">
        <f>(0.08*0.4*0.95)</f>
        <v>0.0304</v>
      </c>
      <c r="D81" s="271">
        <f>TRUNC(($D$31*C81),2)</f>
        <v>79.92</v>
      </c>
    </row>
    <row r="82" spans="1:4">
      <c r="A82" s="251" t="s">
        <v>44</v>
      </c>
      <c r="C82" s="273">
        <f>SUM(C76:C81)</f>
        <v>0.532638888888889</v>
      </c>
      <c r="D82" s="257">
        <f>TRUNC((SUM(D76:D81)),2)</f>
        <v>163.82</v>
      </c>
    </row>
    <row r="83" ht="15.75" spans="1:4">
      <c r="A83" s="251"/>
      <c r="D83" s="257"/>
    </row>
    <row r="84" ht="16.5" spans="1:4">
      <c r="A84" s="261" t="s">
        <v>196</v>
      </c>
      <c r="B84" s="261"/>
      <c r="C84" s="262" t="s">
        <v>188</v>
      </c>
      <c r="D84" s="263">
        <f>D31</f>
        <v>2629</v>
      </c>
    </row>
    <row r="85" ht="16.5" spans="1:4">
      <c r="A85" s="261"/>
      <c r="B85" s="261"/>
      <c r="C85" s="264" t="s">
        <v>197</v>
      </c>
      <c r="D85" s="263">
        <f>D72</f>
        <v>2360.96</v>
      </c>
    </row>
    <row r="86" ht="16.5" spans="1:4">
      <c r="A86" s="261"/>
      <c r="B86" s="261"/>
      <c r="C86" s="262" t="s">
        <v>198</v>
      </c>
      <c r="D86" s="263">
        <f>D82</f>
        <v>163.82</v>
      </c>
    </row>
    <row r="87" ht="16.5" spans="1:4">
      <c r="A87" s="261"/>
      <c r="B87" s="261"/>
      <c r="C87" s="264" t="s">
        <v>190</v>
      </c>
      <c r="D87" s="265">
        <f>TRUNC((SUM(D84:D86)),2)</f>
        <v>5153.78</v>
      </c>
    </row>
    <row r="88" ht="15.75" spans="1:4">
      <c r="A88" s="251"/>
      <c r="D88" s="257"/>
    </row>
    <row r="89" spans="1:4">
      <c r="A89" s="278" t="s">
        <v>113</v>
      </c>
      <c r="B89" s="278"/>
      <c r="C89" s="278"/>
      <c r="D89" s="278"/>
    </row>
    <row r="90" spans="1:4">
      <c r="A90" s="250" t="s">
        <v>114</v>
      </c>
      <c r="B90" s="250"/>
      <c r="C90" s="250"/>
      <c r="D90" s="250"/>
    </row>
    <row r="91" spans="1:4">
      <c r="A91" s="251" t="s">
        <v>115</v>
      </c>
      <c r="B91" s="255" t="s">
        <v>116</v>
      </c>
      <c r="C91" s="251" t="s">
        <v>24</v>
      </c>
      <c r="D91" s="251" t="s">
        <v>5</v>
      </c>
    </row>
    <row r="92" spans="1:4">
      <c r="A92" s="251" t="s">
        <v>28</v>
      </c>
      <c r="B92" t="s">
        <v>199</v>
      </c>
      <c r="C92" s="273">
        <f>(((1+1/3)/12)/12)+((1/12)/12)</f>
        <v>0.0162037037037037</v>
      </c>
      <c r="D92" s="257">
        <f>TRUNC(($D$87*C92),2)</f>
        <v>83.51</v>
      </c>
    </row>
    <row r="93" spans="1:4">
      <c r="A93" s="251" t="s">
        <v>31</v>
      </c>
      <c r="B93" t="s">
        <v>119</v>
      </c>
      <c r="C93" s="267">
        <f>((2/30)/12)</f>
        <v>0.00555555555555556</v>
      </c>
      <c r="D93" s="271">
        <f t="shared" ref="D92:D96" si="1">TRUNC(($D$87*C93),2)</f>
        <v>28.63</v>
      </c>
    </row>
    <row r="94" spans="1:4">
      <c r="A94" s="251" t="s">
        <v>34</v>
      </c>
      <c r="B94" t="s">
        <v>120</v>
      </c>
      <c r="C94" s="267">
        <f>((5/30)/12)*0.02</f>
        <v>0.000277777777777778</v>
      </c>
      <c r="D94" s="271">
        <f t="shared" si="1"/>
        <v>1.43</v>
      </c>
    </row>
    <row r="95" spans="1:4">
      <c r="A95" s="269" t="s">
        <v>36</v>
      </c>
      <c r="B95" s="274" t="s">
        <v>121</v>
      </c>
      <c r="C95" s="275">
        <f>((15/30)/12)*0.08</f>
        <v>0.00333333333333333</v>
      </c>
      <c r="D95" s="271">
        <f t="shared" si="1"/>
        <v>17.17</v>
      </c>
    </row>
    <row r="96" spans="1:4">
      <c r="A96" s="251" t="s">
        <v>39</v>
      </c>
      <c r="B96" t="s">
        <v>122</v>
      </c>
      <c r="C96" s="267">
        <f>((1+1/3)/12)*0.03*((4/12))</f>
        <v>0.00111111111111111</v>
      </c>
      <c r="D96" s="271">
        <f t="shared" si="1"/>
        <v>5.72</v>
      </c>
    </row>
    <row r="97" spans="1:4">
      <c r="A97" s="251" t="s">
        <v>41</v>
      </c>
      <c r="B97" s="274" t="s">
        <v>200</v>
      </c>
      <c r="C97" s="279">
        <v>0</v>
      </c>
      <c r="D97" s="271">
        <f>TRUNC($D$87*C97)</f>
        <v>0</v>
      </c>
    </row>
    <row r="98" spans="1:4">
      <c r="A98" s="251" t="s">
        <v>44</v>
      </c>
      <c r="C98" s="273">
        <f>SUM(C92:C97)</f>
        <v>0.0264814814814815</v>
      </c>
      <c r="D98" s="257">
        <f>TRUNC((SUM(D92:D97)),2)</f>
        <v>136.46</v>
      </c>
    </row>
    <row r="99" spans="1:4">
      <c r="A99" s="251"/>
      <c r="C99" s="251"/>
      <c r="D99" s="257"/>
    </row>
    <row r="100" spans="1:4">
      <c r="A100" s="250" t="s">
        <v>130</v>
      </c>
      <c r="B100" s="250"/>
      <c r="C100" s="250"/>
      <c r="D100" s="250"/>
    </row>
    <row r="101" spans="1:4">
      <c r="A101" s="251" t="s">
        <v>131</v>
      </c>
      <c r="B101" s="255" t="s">
        <v>132</v>
      </c>
      <c r="C101" s="251" t="s">
        <v>4</v>
      </c>
      <c r="D101" s="251" t="s">
        <v>5</v>
      </c>
    </row>
    <row r="102" ht="105" spans="1:4">
      <c r="A102" s="269" t="s">
        <v>28</v>
      </c>
      <c r="B102" s="280" t="s">
        <v>133</v>
      </c>
      <c r="C102" s="211" t="s">
        <v>201</v>
      </c>
      <c r="D102" s="212" t="s">
        <v>202</v>
      </c>
    </row>
    <row r="103" spans="1:4">
      <c r="A103" s="251" t="s">
        <v>44</v>
      </c>
      <c r="C103" s="281"/>
      <c r="D103" s="213" t="str">
        <f>D102</f>
        <v>*=TRUNCAR(($D$86/220)*(1*(365/12))/2)</v>
      </c>
    </row>
    <row r="105" spans="1:4">
      <c r="A105" s="250" t="s">
        <v>134</v>
      </c>
      <c r="B105" s="250"/>
      <c r="C105" s="250"/>
      <c r="D105" s="250"/>
    </row>
    <row r="106" spans="1:4">
      <c r="A106" s="251" t="s">
        <v>135</v>
      </c>
      <c r="B106" s="255" t="s">
        <v>136</v>
      </c>
      <c r="C106" s="251" t="s">
        <v>4</v>
      </c>
      <c r="D106" s="251" t="s">
        <v>5</v>
      </c>
    </row>
    <row r="107" spans="1:4">
      <c r="A107" s="251" t="s">
        <v>115</v>
      </c>
      <c r="B107" t="s">
        <v>116</v>
      </c>
      <c r="D107" s="200">
        <f>D98</f>
        <v>136.46</v>
      </c>
    </row>
    <row r="108" spans="1:4">
      <c r="A108" s="251" t="s">
        <v>131</v>
      </c>
      <c r="B108" t="s">
        <v>137</v>
      </c>
      <c r="C108" s="255"/>
      <c r="D108" s="282" t="str">
        <f>Submódulo4.260_81[[#Totals],[Valor]]</f>
        <v>*=TRUNCAR(($D$86/220)*(1*(365/12))/2)</v>
      </c>
    </row>
    <row r="109" ht="75" spans="1:4">
      <c r="A109" s="269" t="s">
        <v>44</v>
      </c>
      <c r="B109" s="270"/>
      <c r="C109" s="211" t="s">
        <v>203</v>
      </c>
      <c r="D109" s="283">
        <f>TRUNC((SUM(D107:D108)),2)</f>
        <v>136.46</v>
      </c>
    </row>
    <row r="111" spans="1:4">
      <c r="A111" s="234" t="s">
        <v>138</v>
      </c>
      <c r="B111" s="234"/>
      <c r="C111" s="234"/>
      <c r="D111" s="234"/>
    </row>
    <row r="112" spans="1:4">
      <c r="A112" s="251" t="s">
        <v>139</v>
      </c>
      <c r="B112" s="255" t="s">
        <v>140</v>
      </c>
      <c r="C112" s="251" t="s">
        <v>4</v>
      </c>
      <c r="D112" s="251" t="s">
        <v>5</v>
      </c>
    </row>
    <row r="113" spans="1:4">
      <c r="A113" s="251" t="s">
        <v>28</v>
      </c>
      <c r="B113" t="s">
        <v>204</v>
      </c>
      <c r="D113" s="183">
        <f>Uniformes!G37</f>
        <v>72.13</v>
      </c>
    </row>
    <row r="114" spans="1:4">
      <c r="A114" s="251" t="s">
        <v>31</v>
      </c>
      <c r="B114" t="s">
        <v>205</v>
      </c>
      <c r="D114" s="284">
        <f>EPC!E21</f>
        <v>17.95</v>
      </c>
    </row>
    <row r="115" spans="1:4">
      <c r="A115" s="251" t="s">
        <v>34</v>
      </c>
      <c r="B115" t="s">
        <v>142</v>
      </c>
      <c r="D115" s="284">
        <v>0</v>
      </c>
    </row>
    <row r="116" spans="1:4">
      <c r="A116" s="251" t="s">
        <v>36</v>
      </c>
      <c r="B116" t="s">
        <v>143</v>
      </c>
      <c r="D116" s="284">
        <v>0</v>
      </c>
    </row>
    <row r="117" spans="1:4">
      <c r="A117" s="251" t="s">
        <v>39</v>
      </c>
      <c r="B117" t="s">
        <v>206</v>
      </c>
      <c r="D117" s="200">
        <f>H116</f>
        <v>0</v>
      </c>
    </row>
    <row r="118" spans="1:4">
      <c r="A118" s="251" t="s">
        <v>44</v>
      </c>
      <c r="D118" s="257">
        <f>TRUNC(SUM(D113:D117),2)</f>
        <v>90.08</v>
      </c>
    </row>
    <row r="120" ht="16.5" spans="1:4">
      <c r="A120" s="261" t="s">
        <v>207</v>
      </c>
      <c r="B120" s="261"/>
      <c r="C120" s="262" t="s">
        <v>188</v>
      </c>
      <c r="D120" s="263">
        <f>D31</f>
        <v>2629</v>
      </c>
    </row>
    <row r="121" ht="16.5" spans="1:4">
      <c r="A121" s="261"/>
      <c r="B121" s="261"/>
      <c r="C121" s="264" t="s">
        <v>197</v>
      </c>
      <c r="D121" s="263">
        <f>D72</f>
        <v>2360.96</v>
      </c>
    </row>
    <row r="122" ht="16.5" spans="1:4">
      <c r="A122" s="261"/>
      <c r="B122" s="261"/>
      <c r="C122" s="262" t="s">
        <v>198</v>
      </c>
      <c r="D122" s="263">
        <f>D82</f>
        <v>163.82</v>
      </c>
    </row>
    <row r="123" ht="16.5" spans="1:4">
      <c r="A123" s="261"/>
      <c r="B123" s="261"/>
      <c r="C123" s="264" t="s">
        <v>208</v>
      </c>
      <c r="D123" s="263">
        <f>D109</f>
        <v>136.46</v>
      </c>
    </row>
    <row r="124" ht="16.5" spans="1:4">
      <c r="A124" s="261"/>
      <c r="B124" s="261"/>
      <c r="C124" s="262" t="s">
        <v>209</v>
      </c>
      <c r="D124" s="263">
        <f>D118</f>
        <v>90.08</v>
      </c>
    </row>
    <row r="125" ht="16.5" spans="1:4">
      <c r="A125" s="261"/>
      <c r="B125" s="261"/>
      <c r="C125" s="264" t="s">
        <v>190</v>
      </c>
      <c r="D125" s="265">
        <f>TRUNC((SUM(D120:D124)),2)</f>
        <v>5380.32</v>
      </c>
    </row>
    <row r="126" ht="15.75"/>
    <row r="127" spans="1:4">
      <c r="A127" s="234" t="s">
        <v>150</v>
      </c>
      <c r="B127" s="234"/>
      <c r="C127" s="234"/>
      <c r="D127" s="234"/>
    </row>
    <row r="128" spans="1:7">
      <c r="A128" s="251" t="s">
        <v>151</v>
      </c>
      <c r="B128" t="s">
        <v>152</v>
      </c>
      <c r="C128" s="251" t="s">
        <v>24</v>
      </c>
      <c r="D128" s="251" t="s">
        <v>5</v>
      </c>
      <c r="F128" s="285" t="s">
        <v>210</v>
      </c>
      <c r="G128" s="285"/>
    </row>
    <row r="129" ht="15.75" spans="1:7">
      <c r="A129" s="251" t="s">
        <v>28</v>
      </c>
      <c r="B129" t="s">
        <v>153</v>
      </c>
      <c r="C129" s="196">
        <v>0.044</v>
      </c>
      <c r="D129" s="183">
        <f>TRUNC(($D$125*C129),2)</f>
        <v>236.73</v>
      </c>
      <c r="F129" s="286" t="s">
        <v>211</v>
      </c>
      <c r="G129" s="275">
        <f>C131</f>
        <v>0.0865</v>
      </c>
    </row>
    <row r="130" ht="15.75" spans="1:7">
      <c r="A130" s="251" t="s">
        <v>31</v>
      </c>
      <c r="B130" t="s">
        <v>45</v>
      </c>
      <c r="C130" s="196">
        <v>0.0413</v>
      </c>
      <c r="D130" s="183">
        <f>TRUNC((C130*(D125+D129)),2)</f>
        <v>231.98</v>
      </c>
      <c r="F130" s="287" t="s">
        <v>212</v>
      </c>
      <c r="G130" s="288">
        <f>TRUNC(SUM(D125,D129,D130),2)</f>
        <v>5849.03</v>
      </c>
    </row>
    <row r="131" spans="1:7">
      <c r="A131" s="251" t="s">
        <v>34</v>
      </c>
      <c r="B131" t="s">
        <v>154</v>
      </c>
      <c r="C131" s="196">
        <f>SUM(C132:C134)</f>
        <v>0.0865</v>
      </c>
      <c r="D131" s="284">
        <f>TRUNC((SUM(D132:D134)),2)</f>
        <v>553.83</v>
      </c>
      <c r="F131" s="286" t="s">
        <v>213</v>
      </c>
      <c r="G131" s="289">
        <f>(100-8.65)/100</f>
        <v>0.9135</v>
      </c>
    </row>
    <row r="132" ht="15.75" spans="1:7">
      <c r="A132" s="251"/>
      <c r="B132" t="s">
        <v>214</v>
      </c>
      <c r="C132" s="267">
        <v>0.0065</v>
      </c>
      <c r="D132" s="200">
        <f>TRUNC(($G$132*C132),2)</f>
        <v>41.61</v>
      </c>
      <c r="F132" s="287" t="s">
        <v>210</v>
      </c>
      <c r="G132" s="288">
        <f>TRUNC((G130/G131),2)</f>
        <v>6402.87</v>
      </c>
    </row>
    <row r="133" ht="15.75" spans="1:4">
      <c r="A133" s="251"/>
      <c r="B133" t="s">
        <v>215</v>
      </c>
      <c r="C133" s="267">
        <v>0.03</v>
      </c>
      <c r="D133" s="200">
        <f>TRUNC(($G$132*C133),2)</f>
        <v>192.08</v>
      </c>
    </row>
    <row r="134" spans="1:4">
      <c r="A134" s="251"/>
      <c r="B134" t="s">
        <v>216</v>
      </c>
      <c r="C134" s="267">
        <v>0.05</v>
      </c>
      <c r="D134" s="200">
        <f t="shared" ref="D132:D134" si="2">TRUNC(($G$132*C134),2)</f>
        <v>320.14</v>
      </c>
    </row>
    <row r="135" spans="1:4">
      <c r="A135" s="251" t="s">
        <v>44</v>
      </c>
      <c r="C135" s="290"/>
      <c r="D135" s="257">
        <f>TRUNC(SUM(D129:D131),2)</f>
        <v>1022.54</v>
      </c>
    </row>
    <row r="136" spans="1:4">
      <c r="A136" s="251"/>
      <c r="C136" s="290"/>
      <c r="D136" s="257"/>
    </row>
    <row r="138" spans="1:4">
      <c r="A138" s="234" t="s">
        <v>158</v>
      </c>
      <c r="B138" s="234"/>
      <c r="C138" s="234"/>
      <c r="D138" s="234"/>
    </row>
    <row r="139" spans="1:4">
      <c r="A139" s="251" t="s">
        <v>2</v>
      </c>
      <c r="B139" s="251" t="s">
        <v>159</v>
      </c>
      <c r="C139" s="251" t="s">
        <v>88</v>
      </c>
      <c r="D139" s="251" t="s">
        <v>5</v>
      </c>
    </row>
    <row r="140" spans="1:4">
      <c r="A140" s="251" t="s">
        <v>28</v>
      </c>
      <c r="B140" t="s">
        <v>22</v>
      </c>
      <c r="D140" s="257">
        <f>D31</f>
        <v>2629</v>
      </c>
    </row>
    <row r="141" spans="1:4">
      <c r="A141" s="251" t="s">
        <v>31</v>
      </c>
      <c r="B141" t="s">
        <v>47</v>
      </c>
      <c r="D141" s="257">
        <f>D72</f>
        <v>2360.96</v>
      </c>
    </row>
    <row r="142" spans="1:4">
      <c r="A142" s="251" t="s">
        <v>34</v>
      </c>
      <c r="B142" t="s">
        <v>94</v>
      </c>
      <c r="D142" s="257">
        <f>D82</f>
        <v>163.82</v>
      </c>
    </row>
    <row r="143" spans="1:4">
      <c r="A143" s="251" t="s">
        <v>36</v>
      </c>
      <c r="B143" t="s">
        <v>160</v>
      </c>
      <c r="D143" s="257">
        <f>D109</f>
        <v>136.46</v>
      </c>
    </row>
    <row r="144" spans="1:4">
      <c r="A144" s="251" t="s">
        <v>39</v>
      </c>
      <c r="B144" t="s">
        <v>138</v>
      </c>
      <c r="D144" s="257">
        <f>D118</f>
        <v>90.08</v>
      </c>
    </row>
    <row r="145" spans="2:4">
      <c r="B145" s="291" t="s">
        <v>161</v>
      </c>
      <c r="D145" s="257">
        <f>TRUNC(SUM(D140:D144),2)</f>
        <v>5380.32</v>
      </c>
    </row>
    <row r="146" spans="1:4">
      <c r="A146" s="251" t="s">
        <v>41</v>
      </c>
      <c r="B146" t="s">
        <v>150</v>
      </c>
      <c r="D146" s="257">
        <f>D135</f>
        <v>1022.54</v>
      </c>
    </row>
    <row r="147" spans="1:4">
      <c r="A147" s="292"/>
      <c r="B147" s="293" t="s">
        <v>217</v>
      </c>
      <c r="C147" s="292"/>
      <c r="D147" s="294">
        <f>TRUNC((SUM(D140:D144)+D146),2)</f>
        <v>6402.86</v>
      </c>
    </row>
    <row r="149" spans="1:1">
      <c r="A149" t="s">
        <v>225</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26" workbookViewId="0">
      <selection activeCell="A2" sqref="A2:D147"/>
    </sheetView>
  </sheetViews>
  <sheetFormatPr defaultColWidth="9.14285714285714" defaultRowHeight="15" outlineLevelCol="6"/>
  <cols>
    <col min="1" max="1" width="11" customWidth="1"/>
    <col min="2" max="2" width="50.5714285714286" customWidth="1"/>
    <col min="3" max="3" width="28.5714285714286" customWidth="1"/>
    <col min="4" max="4" width="38" customWidth="1"/>
    <col min="6" max="6" width="22.2857142857143" customWidth="1"/>
    <col min="7" max="7" width="14.2857142857143" customWidth="1"/>
  </cols>
  <sheetData>
    <row r="1" spans="1:7">
      <c r="A1" s="156"/>
      <c r="B1" s="156"/>
      <c r="C1" s="156"/>
      <c r="D1" s="156"/>
      <c r="E1" s="156"/>
      <c r="F1" s="156"/>
      <c r="G1" s="156"/>
    </row>
    <row r="2" ht="19.5" spans="1:7">
      <c r="A2" s="157" t="s">
        <v>163</v>
      </c>
      <c r="B2" s="157"/>
      <c r="C2" s="157"/>
      <c r="D2" s="157"/>
      <c r="E2" s="156"/>
      <c r="F2" s="156"/>
      <c r="G2" s="156"/>
    </row>
    <row r="3" ht="15.75" spans="1:7">
      <c r="A3" s="158" t="s">
        <v>226</v>
      </c>
      <c r="B3" s="158"/>
      <c r="C3" s="158"/>
      <c r="D3" s="158"/>
      <c r="E3" s="156"/>
      <c r="F3" s="156"/>
      <c r="G3" s="156"/>
    </row>
    <row r="4" spans="1:7">
      <c r="A4" s="159" t="s">
        <v>165</v>
      </c>
      <c r="B4" s="160" t="s">
        <v>166</v>
      </c>
      <c r="C4" s="161"/>
      <c r="D4" s="161"/>
      <c r="E4" s="156"/>
      <c r="F4" s="156"/>
      <c r="G4" s="156"/>
    </row>
    <row r="5" spans="1:7">
      <c r="A5" s="162"/>
      <c r="B5" s="163"/>
      <c r="C5" s="163"/>
      <c r="D5" s="163"/>
      <c r="E5" s="156"/>
      <c r="F5" s="156"/>
      <c r="G5" s="156"/>
    </row>
    <row r="6" ht="15.75" spans="1:7">
      <c r="A6" s="164" t="s">
        <v>167</v>
      </c>
      <c r="B6" s="164"/>
      <c r="C6" s="164"/>
      <c r="D6" s="164"/>
      <c r="E6" s="156"/>
      <c r="F6" s="156"/>
      <c r="G6" s="156"/>
    </row>
    <row r="7" ht="15.75" spans="1:7">
      <c r="A7" s="165" t="s">
        <v>28</v>
      </c>
      <c r="B7" s="166" t="s">
        <v>168</v>
      </c>
      <c r="C7" s="167" t="s">
        <v>169</v>
      </c>
      <c r="D7" s="167"/>
      <c r="E7" s="156"/>
      <c r="F7" s="156"/>
      <c r="G7" s="156"/>
    </row>
    <row r="8" spans="1:7">
      <c r="A8" s="168" t="s">
        <v>31</v>
      </c>
      <c r="B8" s="169" t="s">
        <v>170</v>
      </c>
      <c r="C8" s="170" t="s">
        <v>171</v>
      </c>
      <c r="D8" s="170"/>
      <c r="E8" s="156"/>
      <c r="F8" s="156"/>
      <c r="G8" s="156"/>
    </row>
    <row r="9" spans="1:7">
      <c r="A9" s="171" t="s">
        <v>34</v>
      </c>
      <c r="B9" s="172" t="s">
        <v>172</v>
      </c>
      <c r="C9" s="170" t="s">
        <v>227</v>
      </c>
      <c r="D9" s="170"/>
      <c r="E9" s="156"/>
      <c r="F9" s="156"/>
      <c r="G9" s="156"/>
    </row>
    <row r="10" spans="1:7">
      <c r="A10" s="168" t="s">
        <v>39</v>
      </c>
      <c r="B10" s="169" t="s">
        <v>174</v>
      </c>
      <c r="C10" s="170" t="s">
        <v>175</v>
      </c>
      <c r="D10" s="170"/>
      <c r="E10" s="156"/>
      <c r="F10" s="156"/>
      <c r="G10" s="156"/>
    </row>
    <row r="11" ht="15.75" spans="1:7">
      <c r="A11" s="173" t="s">
        <v>176</v>
      </c>
      <c r="B11" s="173"/>
      <c r="C11" s="173"/>
      <c r="D11" s="173"/>
      <c r="E11" s="156"/>
      <c r="F11" s="156"/>
      <c r="G11" s="156"/>
    </row>
    <row r="12" ht="16.5" spans="1:7">
      <c r="A12" s="174" t="s">
        <v>177</v>
      </c>
      <c r="B12" s="174"/>
      <c r="C12" s="173" t="s">
        <v>178</v>
      </c>
      <c r="D12" s="175" t="s">
        <v>179</v>
      </c>
      <c r="E12" s="156"/>
      <c r="F12" s="156"/>
      <c r="G12" s="156"/>
    </row>
    <row r="13" ht="15.75" spans="1:7">
      <c r="A13" s="176" t="s">
        <v>228</v>
      </c>
      <c r="B13" s="176"/>
      <c r="C13" s="170" t="s">
        <v>181</v>
      </c>
      <c r="D13" s="177">
        <f>RESUMO!D6</f>
        <v>1</v>
      </c>
      <c r="E13" s="156"/>
      <c r="F13" s="156"/>
      <c r="G13" s="156"/>
    </row>
    <row r="14" spans="1:7">
      <c r="A14" s="178"/>
      <c r="B14" s="178"/>
      <c r="C14" s="170"/>
      <c r="D14" s="179"/>
      <c r="E14" s="156"/>
      <c r="F14" s="156"/>
      <c r="G14" s="156"/>
    </row>
    <row r="15" ht="15.75" spans="1:7">
      <c r="A15" s="173" t="s">
        <v>0</v>
      </c>
      <c r="B15" s="173"/>
      <c r="C15" s="173"/>
      <c r="D15" s="173"/>
      <c r="E15" s="156"/>
      <c r="F15" s="180"/>
      <c r="G15" s="180"/>
    </row>
    <row r="16" ht="15.75" spans="1:7">
      <c r="A16" s="181" t="s">
        <v>2</v>
      </c>
      <c r="B16" s="156" t="s">
        <v>3</v>
      </c>
      <c r="C16" s="181" t="s">
        <v>4</v>
      </c>
      <c r="D16" s="181" t="s">
        <v>5</v>
      </c>
      <c r="E16" s="156"/>
      <c r="F16" s="156"/>
      <c r="G16" s="156"/>
    </row>
    <row r="17" spans="1:7">
      <c r="A17" s="181">
        <v>1</v>
      </c>
      <c r="B17" s="156" t="s">
        <v>6</v>
      </c>
      <c r="C17" s="182" t="s">
        <v>88</v>
      </c>
      <c r="D17" s="182" t="str">
        <f>A13</f>
        <v>Eletricista</v>
      </c>
      <c r="E17" s="156"/>
      <c r="F17" s="156"/>
      <c r="G17" s="156"/>
    </row>
    <row r="18" spans="1:7">
      <c r="A18" s="181">
        <v>2</v>
      </c>
      <c r="B18" s="156" t="s">
        <v>9</v>
      </c>
      <c r="C18" s="182" t="s">
        <v>182</v>
      </c>
      <c r="D18" s="182" t="s">
        <v>229</v>
      </c>
      <c r="E18" s="156"/>
      <c r="F18" s="156"/>
      <c r="G18" s="156"/>
    </row>
    <row r="19" spans="1:7">
      <c r="A19" s="181">
        <v>3</v>
      </c>
      <c r="B19" s="156" t="s">
        <v>12</v>
      </c>
      <c r="C19" s="182" t="str">
        <f>C9</f>
        <v>CCT PB 000047/2021</v>
      </c>
      <c r="D19" s="183">
        <v>1528</v>
      </c>
      <c r="E19" s="156"/>
      <c r="F19" s="156"/>
      <c r="G19" s="156"/>
    </row>
    <row r="20" spans="1:7">
      <c r="A20" s="181">
        <v>4</v>
      </c>
      <c r="B20" s="156" t="s">
        <v>15</v>
      </c>
      <c r="C20" s="182" t="str">
        <f>C9</f>
        <v>CCT PB 000047/2021</v>
      </c>
      <c r="D20" s="182" t="s">
        <v>184</v>
      </c>
      <c r="E20" s="156"/>
      <c r="F20" s="156"/>
      <c r="G20" s="156"/>
    </row>
    <row r="21" spans="1:7">
      <c r="A21" s="181">
        <v>5</v>
      </c>
      <c r="B21" s="156" t="s">
        <v>19</v>
      </c>
      <c r="C21" s="182" t="str">
        <f>C9</f>
        <v>CCT PB 000047/2021</v>
      </c>
      <c r="D21" s="184" t="s">
        <v>185</v>
      </c>
      <c r="E21" s="156"/>
      <c r="F21" s="156"/>
      <c r="G21" s="156"/>
    </row>
    <row r="22" spans="1:7">
      <c r="A22" s="156"/>
      <c r="B22" s="156"/>
      <c r="C22" s="156"/>
      <c r="D22" s="156"/>
      <c r="E22" s="156"/>
      <c r="F22" s="180"/>
      <c r="G22" s="180"/>
    </row>
    <row r="23" spans="1:7">
      <c r="A23" s="164" t="s">
        <v>22</v>
      </c>
      <c r="B23" s="164"/>
      <c r="C23" s="164"/>
      <c r="D23" s="164"/>
      <c r="E23" s="156"/>
      <c r="F23" s="156"/>
      <c r="G23" s="156"/>
    </row>
    <row r="24" spans="1:7">
      <c r="A24" s="181" t="s">
        <v>25</v>
      </c>
      <c r="B24" s="156" t="s">
        <v>26</v>
      </c>
      <c r="C24" s="181" t="s">
        <v>4</v>
      </c>
      <c r="D24" s="181" t="s">
        <v>5</v>
      </c>
      <c r="E24" s="156"/>
      <c r="F24" s="156"/>
      <c r="G24" s="185"/>
    </row>
    <row r="25" spans="1:7">
      <c r="A25" s="181" t="s">
        <v>28</v>
      </c>
      <c r="B25" s="156" t="s">
        <v>29</v>
      </c>
      <c r="C25" s="182" t="s">
        <v>230</v>
      </c>
      <c r="D25" s="199">
        <f>D19</f>
        <v>1528</v>
      </c>
      <c r="E25" s="156"/>
      <c r="F25" s="156"/>
      <c r="G25" s="185"/>
    </row>
    <row r="26" ht="30" spans="1:7">
      <c r="A26" s="181" t="s">
        <v>31</v>
      </c>
      <c r="B26" s="156" t="s">
        <v>32</v>
      </c>
      <c r="C26" s="224" t="s">
        <v>231</v>
      </c>
      <c r="D26" s="199">
        <f>TRUNC((D25*30%),2)</f>
        <v>458.4</v>
      </c>
      <c r="E26" s="156"/>
      <c r="F26" s="156"/>
      <c r="G26" s="185"/>
    </row>
    <row r="27" spans="1:7">
      <c r="A27" s="181" t="s">
        <v>34</v>
      </c>
      <c r="B27" s="156" t="s">
        <v>35</v>
      </c>
      <c r="C27" s="182"/>
      <c r="D27" s="199">
        <v>0</v>
      </c>
      <c r="E27" s="156"/>
      <c r="F27" s="156"/>
      <c r="G27" s="156"/>
    </row>
    <row r="28" spans="1:7">
      <c r="A28" s="181" t="s">
        <v>36</v>
      </c>
      <c r="B28" s="156" t="s">
        <v>37</v>
      </c>
      <c r="C28" s="182"/>
      <c r="D28" s="199">
        <v>0</v>
      </c>
      <c r="E28" s="156"/>
      <c r="F28" s="156"/>
      <c r="G28" s="156"/>
    </row>
    <row r="29" spans="1:7">
      <c r="A29" s="181" t="s">
        <v>39</v>
      </c>
      <c r="B29" s="156" t="s">
        <v>40</v>
      </c>
      <c r="C29" s="182"/>
      <c r="D29" s="199">
        <v>0</v>
      </c>
      <c r="E29" s="156"/>
      <c r="F29" s="156"/>
      <c r="G29" s="156"/>
    </row>
    <row r="30" spans="1:7">
      <c r="A30" s="181" t="s">
        <v>41</v>
      </c>
      <c r="B30" s="156" t="s">
        <v>42</v>
      </c>
      <c r="C30" s="182"/>
      <c r="D30" s="199">
        <v>0</v>
      </c>
      <c r="E30" s="156"/>
      <c r="F30" s="156"/>
      <c r="G30" s="156"/>
    </row>
    <row r="31" spans="1:7">
      <c r="A31" s="181" t="s">
        <v>44</v>
      </c>
      <c r="B31" s="156"/>
      <c r="C31" s="181"/>
      <c r="D31" s="186">
        <f>TRUNC(SUM(D25:D30),2)</f>
        <v>1986.4</v>
      </c>
      <c r="E31" s="156"/>
      <c r="F31" s="180"/>
      <c r="G31" s="180"/>
    </row>
    <row r="32" spans="1:7">
      <c r="A32" s="156"/>
      <c r="B32" s="156"/>
      <c r="C32" s="156"/>
      <c r="D32" s="156"/>
      <c r="E32" s="156"/>
      <c r="F32" s="156"/>
      <c r="G32" s="156"/>
    </row>
    <row r="33" spans="1:7">
      <c r="A33" s="187" t="s">
        <v>47</v>
      </c>
      <c r="B33" s="187"/>
      <c r="C33" s="187"/>
      <c r="D33" s="187"/>
      <c r="E33" s="156"/>
      <c r="F33" s="156"/>
      <c r="G33" s="185"/>
    </row>
    <row r="34" spans="1:7">
      <c r="A34" s="156"/>
      <c r="B34" s="156"/>
      <c r="C34" s="156"/>
      <c r="D34" s="156"/>
      <c r="E34" s="156"/>
      <c r="F34" s="156"/>
      <c r="G34" s="156"/>
    </row>
    <row r="35" spans="1:7">
      <c r="A35" s="180" t="s">
        <v>49</v>
      </c>
      <c r="B35" s="180"/>
      <c r="C35" s="180"/>
      <c r="D35" s="180"/>
      <c r="E35" s="156"/>
      <c r="F35" s="156"/>
      <c r="G35" s="156"/>
    </row>
    <row r="36" spans="1:7">
      <c r="A36" s="181" t="s">
        <v>51</v>
      </c>
      <c r="B36" s="156" t="s">
        <v>52</v>
      </c>
      <c r="C36" s="181" t="s">
        <v>24</v>
      </c>
      <c r="D36" s="181" t="s">
        <v>5</v>
      </c>
      <c r="E36" s="156"/>
      <c r="F36" s="156"/>
      <c r="G36" s="156"/>
    </row>
    <row r="37" spans="1:7">
      <c r="A37" s="181" t="s">
        <v>28</v>
      </c>
      <c r="B37" s="156" t="s">
        <v>53</v>
      </c>
      <c r="C37" s="188">
        <f>(1/12)</f>
        <v>0.0833333333333333</v>
      </c>
      <c r="D37" s="186">
        <f>TRUNC($D$31*C37,2)</f>
        <v>165.53</v>
      </c>
      <c r="E37" s="156"/>
      <c r="F37" s="189"/>
      <c r="G37" s="189"/>
    </row>
    <row r="38" spans="1:7">
      <c r="A38" s="181" t="s">
        <v>31</v>
      </c>
      <c r="B38" s="156" t="s">
        <v>54</v>
      </c>
      <c r="C38" s="188">
        <f>(((1+1/3)/12))</f>
        <v>0.111111111111111</v>
      </c>
      <c r="D38" s="186">
        <f>TRUNC($D$31*C38,2)</f>
        <v>220.71</v>
      </c>
      <c r="E38" s="156"/>
      <c r="F38" s="189"/>
      <c r="G38" s="189"/>
    </row>
    <row r="39" spans="1:7">
      <c r="A39" s="181" t="s">
        <v>44</v>
      </c>
      <c r="B39" s="156"/>
      <c r="C39" s="156"/>
      <c r="D39" s="186">
        <f>TRUNC((SUM(D37:D38)),2)</f>
        <v>386.24</v>
      </c>
      <c r="E39" s="156"/>
      <c r="F39" s="189"/>
      <c r="G39" s="189"/>
    </row>
    <row r="40" ht="15.75" spans="1:7">
      <c r="A40" s="156"/>
      <c r="B40" s="156"/>
      <c r="C40" s="156"/>
      <c r="D40" s="186"/>
      <c r="E40" s="156"/>
      <c r="F40" s="189"/>
      <c r="G40" s="189"/>
    </row>
    <row r="41" ht="16.5" spans="1:7">
      <c r="A41" s="190" t="s">
        <v>187</v>
      </c>
      <c r="B41" s="190"/>
      <c r="C41" s="191" t="s">
        <v>188</v>
      </c>
      <c r="D41" s="192">
        <f>D31</f>
        <v>1986.4</v>
      </c>
      <c r="E41" s="156"/>
      <c r="F41" s="189"/>
      <c r="G41" s="189"/>
    </row>
    <row r="42" ht="16.5" spans="1:7">
      <c r="A42" s="190"/>
      <c r="B42" s="190"/>
      <c r="C42" s="193" t="s">
        <v>189</v>
      </c>
      <c r="D42" s="192">
        <f>D39</f>
        <v>386.24</v>
      </c>
      <c r="E42" s="156"/>
      <c r="F42" s="189"/>
      <c r="G42" s="189"/>
    </row>
    <row r="43" ht="16.5" spans="1:7">
      <c r="A43" s="190"/>
      <c r="B43" s="190"/>
      <c r="C43" s="191" t="s">
        <v>190</v>
      </c>
      <c r="D43" s="194">
        <f>TRUNC((SUM(D41:D42)),2)</f>
        <v>2372.64</v>
      </c>
      <c r="E43" s="156"/>
      <c r="F43" s="189"/>
      <c r="G43" s="189"/>
    </row>
    <row r="44" ht="15.75" spans="1:7">
      <c r="A44" s="181"/>
      <c r="B44" s="156"/>
      <c r="C44" s="195"/>
      <c r="D44" s="186"/>
      <c r="E44" s="156"/>
      <c r="F44" s="189"/>
      <c r="G44" s="189"/>
    </row>
    <row r="45" spans="1:7">
      <c r="A45" s="180" t="s">
        <v>63</v>
      </c>
      <c r="B45" s="180"/>
      <c r="C45" s="180"/>
      <c r="D45" s="180"/>
      <c r="E45" s="156"/>
      <c r="F45" s="156"/>
      <c r="G45" s="156"/>
    </row>
    <row r="46" spans="1:7">
      <c r="A46" s="181" t="s">
        <v>64</v>
      </c>
      <c r="B46" s="156" t="s">
        <v>65</v>
      </c>
      <c r="C46" s="181" t="s">
        <v>24</v>
      </c>
      <c r="D46" s="181" t="s">
        <v>66</v>
      </c>
      <c r="E46" s="156"/>
      <c r="F46" s="156"/>
      <c r="G46" s="156"/>
    </row>
    <row r="47" spans="1:7">
      <c r="A47" s="181" t="s">
        <v>28</v>
      </c>
      <c r="B47" s="156" t="s">
        <v>67</v>
      </c>
      <c r="C47" s="188">
        <v>0.2</v>
      </c>
      <c r="D47" s="186">
        <f t="shared" ref="D47:D54" si="0">TRUNC(($D$43*C47),2)</f>
        <v>474.52</v>
      </c>
      <c r="E47" s="156"/>
      <c r="F47" s="156"/>
      <c r="G47" s="156"/>
    </row>
    <row r="48" spans="1:7">
      <c r="A48" s="181" t="s">
        <v>31</v>
      </c>
      <c r="B48" s="156" t="s">
        <v>68</v>
      </c>
      <c r="C48" s="188">
        <v>0.025</v>
      </c>
      <c r="D48" s="186">
        <f t="shared" si="0"/>
        <v>59.31</v>
      </c>
      <c r="E48" s="156"/>
      <c r="F48" s="156"/>
      <c r="G48" s="156"/>
    </row>
    <row r="49" spans="1:7">
      <c r="A49" s="181" t="s">
        <v>34</v>
      </c>
      <c r="B49" s="156" t="s">
        <v>191</v>
      </c>
      <c r="C49" s="196">
        <v>0.06</v>
      </c>
      <c r="D49" s="183">
        <f t="shared" si="0"/>
        <v>142.35</v>
      </c>
      <c r="E49" s="156"/>
      <c r="F49" s="156"/>
      <c r="G49" s="156"/>
    </row>
    <row r="50" spans="1:7">
      <c r="A50" s="181" t="s">
        <v>36</v>
      </c>
      <c r="B50" s="156" t="s">
        <v>70</v>
      </c>
      <c r="C50" s="188">
        <v>0.015</v>
      </c>
      <c r="D50" s="186">
        <f t="shared" si="0"/>
        <v>35.58</v>
      </c>
      <c r="E50" s="156"/>
      <c r="F50" s="156"/>
      <c r="G50" s="156"/>
    </row>
    <row r="51" spans="1:7">
      <c r="A51" s="181" t="s">
        <v>39</v>
      </c>
      <c r="B51" s="156" t="s">
        <v>71</v>
      </c>
      <c r="C51" s="188">
        <v>0.01</v>
      </c>
      <c r="D51" s="186">
        <f t="shared" si="0"/>
        <v>23.72</v>
      </c>
      <c r="E51" s="156"/>
      <c r="F51" s="156"/>
      <c r="G51" s="156"/>
    </row>
    <row r="52" spans="1:7">
      <c r="A52" s="181" t="s">
        <v>41</v>
      </c>
      <c r="B52" s="156" t="s">
        <v>72</v>
      </c>
      <c r="C52" s="188">
        <v>0.006</v>
      </c>
      <c r="D52" s="186">
        <f t="shared" si="0"/>
        <v>14.23</v>
      </c>
      <c r="E52" s="156"/>
      <c r="F52" s="156"/>
      <c r="G52" s="156"/>
    </row>
    <row r="53" spans="1:7">
      <c r="A53" s="181" t="s">
        <v>73</v>
      </c>
      <c r="B53" s="156" t="s">
        <v>74</v>
      </c>
      <c r="C53" s="188">
        <v>0.002</v>
      </c>
      <c r="D53" s="186">
        <f t="shared" si="0"/>
        <v>4.74</v>
      </c>
      <c r="E53" s="156"/>
      <c r="F53" s="156"/>
      <c r="G53" s="156"/>
    </row>
    <row r="54" spans="1:7">
      <c r="A54" s="181" t="s">
        <v>75</v>
      </c>
      <c r="B54" s="156" t="s">
        <v>76</v>
      </c>
      <c r="C54" s="188">
        <v>0.08</v>
      </c>
      <c r="D54" s="186">
        <f t="shared" si="0"/>
        <v>189.81</v>
      </c>
      <c r="E54" s="156"/>
      <c r="F54" s="156"/>
      <c r="G54" s="156"/>
    </row>
    <row r="55" spans="1:7">
      <c r="A55" s="181" t="s">
        <v>44</v>
      </c>
      <c r="B55" s="156"/>
      <c r="C55" s="195">
        <f>SUM(C47:C54)</f>
        <v>0.398</v>
      </c>
      <c r="D55" s="186">
        <f>TRUNC((SUM(D47:D54)),2)</f>
        <v>944.26</v>
      </c>
      <c r="E55" s="156"/>
      <c r="F55" s="156"/>
      <c r="G55" s="156"/>
    </row>
    <row r="56" spans="1:7">
      <c r="A56" s="181"/>
      <c r="B56" s="156"/>
      <c r="C56" s="195"/>
      <c r="D56" s="186"/>
      <c r="E56" s="156"/>
      <c r="F56" s="156"/>
      <c r="G56" s="156"/>
    </row>
    <row r="57" spans="1:7">
      <c r="A57" s="180" t="s">
        <v>81</v>
      </c>
      <c r="B57" s="180"/>
      <c r="C57" s="180"/>
      <c r="D57" s="180"/>
      <c r="E57" s="156"/>
      <c r="F57" s="156"/>
      <c r="G57" s="156"/>
    </row>
    <row r="58" spans="1:7">
      <c r="A58" s="181" t="s">
        <v>82</v>
      </c>
      <c r="B58" s="156" t="s">
        <v>83</v>
      </c>
      <c r="C58" s="181" t="s">
        <v>4</v>
      </c>
      <c r="D58" s="181" t="s">
        <v>5</v>
      </c>
      <c r="E58" s="156"/>
      <c r="F58" s="156"/>
      <c r="G58" s="156"/>
    </row>
    <row r="59" spans="1:7">
      <c r="A59" s="181" t="s">
        <v>28</v>
      </c>
      <c r="B59" s="156" t="s">
        <v>84</v>
      </c>
      <c r="C59" s="182"/>
      <c r="D59" s="183">
        <v>0</v>
      </c>
      <c r="E59" s="156"/>
      <c r="F59" s="156"/>
      <c r="G59" s="156"/>
    </row>
    <row r="60" spans="1:7">
      <c r="A60" s="181" t="s">
        <v>31</v>
      </c>
      <c r="B60" s="156" t="s">
        <v>85</v>
      </c>
      <c r="C60" s="182" t="str">
        <f>C9</f>
        <v>CCT PB 000047/2021</v>
      </c>
      <c r="D60" s="183">
        <f>TRUNC((((22*18))-(((22*18))*0.2)),2)</f>
        <v>316.8</v>
      </c>
      <c r="E60" s="156"/>
      <c r="F60" s="156"/>
      <c r="G60" s="156"/>
    </row>
    <row r="61" spans="1:7">
      <c r="A61" s="181" t="s">
        <v>34</v>
      </c>
      <c r="B61" s="156" t="s">
        <v>86</v>
      </c>
      <c r="C61" s="182"/>
      <c r="D61" s="183">
        <v>0</v>
      </c>
      <c r="E61" s="156"/>
      <c r="F61" s="156"/>
      <c r="G61" s="156"/>
    </row>
    <row r="62" spans="1:7">
      <c r="A62" s="197" t="s">
        <v>36</v>
      </c>
      <c r="B62" s="198" t="s">
        <v>232</v>
      </c>
      <c r="C62" s="199"/>
      <c r="D62" s="199">
        <v>0</v>
      </c>
      <c r="E62" s="156"/>
      <c r="F62" s="198"/>
      <c r="G62" s="156"/>
    </row>
    <row r="63" spans="1:7">
      <c r="A63" s="181" t="s">
        <v>39</v>
      </c>
      <c r="B63" s="156" t="s">
        <v>193</v>
      </c>
      <c r="C63" s="182" t="str">
        <f>C9</f>
        <v>CCT PB 000047/2021</v>
      </c>
      <c r="D63" s="200">
        <v>15</v>
      </c>
      <c r="E63" s="156"/>
      <c r="F63" s="156"/>
      <c r="G63" s="156"/>
    </row>
    <row r="64" spans="1:7">
      <c r="A64" s="181" t="s">
        <v>41</v>
      </c>
      <c r="B64" s="201" t="s">
        <v>194</v>
      </c>
      <c r="C64" s="199" t="str">
        <f>C9</f>
        <v>CCT PB 000047/2021</v>
      </c>
      <c r="D64" s="200">
        <v>5</v>
      </c>
      <c r="E64" s="156"/>
      <c r="F64" s="156"/>
      <c r="G64" s="156"/>
    </row>
    <row r="65" spans="1:7">
      <c r="A65" s="181" t="s">
        <v>44</v>
      </c>
      <c r="B65" s="156"/>
      <c r="C65" s="156"/>
      <c r="D65" s="186">
        <f>TRUNC((SUM(D59:D64)),2)</f>
        <v>336.8</v>
      </c>
      <c r="E65" s="156"/>
      <c r="F65" s="156"/>
      <c r="G65" s="156"/>
    </row>
    <row r="66" spans="1:7">
      <c r="A66" s="181"/>
      <c r="B66" s="156"/>
      <c r="C66" s="156"/>
      <c r="D66" s="186"/>
      <c r="E66" s="156"/>
      <c r="F66" s="156"/>
      <c r="G66" s="156"/>
    </row>
    <row r="67" spans="1:7">
      <c r="A67" s="180" t="s">
        <v>91</v>
      </c>
      <c r="B67" s="180"/>
      <c r="C67" s="180"/>
      <c r="D67" s="180"/>
      <c r="E67" s="156"/>
      <c r="F67" s="156"/>
      <c r="G67" s="156"/>
    </row>
    <row r="68" spans="1:7">
      <c r="A68" s="181" t="s">
        <v>92</v>
      </c>
      <c r="B68" s="156" t="s">
        <v>93</v>
      </c>
      <c r="C68" s="181" t="s">
        <v>4</v>
      </c>
      <c r="D68" s="181" t="s">
        <v>5</v>
      </c>
      <c r="E68" s="156"/>
      <c r="F68" s="156"/>
      <c r="G68" s="156"/>
    </row>
    <row r="69" spans="1:7">
      <c r="A69" s="181" t="s">
        <v>51</v>
      </c>
      <c r="B69" s="156" t="s">
        <v>52</v>
      </c>
      <c r="C69" s="181"/>
      <c r="D69" s="186">
        <f>D39</f>
        <v>386.24</v>
      </c>
      <c r="E69" s="156"/>
      <c r="F69" s="156"/>
      <c r="G69" s="156"/>
    </row>
    <row r="70" spans="1:7">
      <c r="A70" s="181" t="s">
        <v>64</v>
      </c>
      <c r="B70" s="156" t="s">
        <v>65</v>
      </c>
      <c r="C70" s="181"/>
      <c r="D70" s="186">
        <f>D55</f>
        <v>944.26</v>
      </c>
      <c r="E70" s="156"/>
      <c r="F70" s="156"/>
      <c r="G70" s="156"/>
    </row>
    <row r="71" spans="1:7">
      <c r="A71" s="181" t="s">
        <v>82</v>
      </c>
      <c r="B71" s="156" t="s">
        <v>83</v>
      </c>
      <c r="C71" s="181"/>
      <c r="D71" s="186">
        <f>D65</f>
        <v>336.8</v>
      </c>
      <c r="E71" s="156"/>
      <c r="F71" s="156"/>
      <c r="G71" s="156"/>
    </row>
    <row r="72" spans="1:7">
      <c r="A72" s="181" t="s">
        <v>44</v>
      </c>
      <c r="B72" s="156"/>
      <c r="C72" s="181"/>
      <c r="D72" s="186">
        <f>TRUNC(SUM(D69:D71),2)</f>
        <v>1667.3</v>
      </c>
      <c r="E72" s="156"/>
      <c r="F72" s="156"/>
      <c r="G72" s="156"/>
    </row>
    <row r="73" spans="1:7">
      <c r="A73" s="156"/>
      <c r="B73" s="156"/>
      <c r="C73" s="156"/>
      <c r="D73" s="156"/>
      <c r="E73" s="156"/>
      <c r="F73" s="156"/>
      <c r="G73" s="156"/>
    </row>
    <row r="74" spans="1:7">
      <c r="A74" s="164" t="s">
        <v>94</v>
      </c>
      <c r="B74" s="164"/>
      <c r="C74" s="164"/>
      <c r="D74" s="164"/>
      <c r="E74" s="156"/>
      <c r="F74" s="156"/>
      <c r="G74" s="156"/>
    </row>
    <row r="75" spans="1:7">
      <c r="A75" s="181" t="s">
        <v>95</v>
      </c>
      <c r="B75" s="156" t="s">
        <v>96</v>
      </c>
      <c r="C75" s="181" t="s">
        <v>24</v>
      </c>
      <c r="D75" s="181" t="s">
        <v>5</v>
      </c>
      <c r="E75" s="156"/>
      <c r="F75" s="156"/>
      <c r="G75" s="156"/>
    </row>
    <row r="76" spans="1:7">
      <c r="A76" s="181" t="s">
        <v>28</v>
      </c>
      <c r="B76" s="156" t="s">
        <v>97</v>
      </c>
      <c r="C76" s="196">
        <f>((1/12)*5%)</f>
        <v>0.00416666666666667</v>
      </c>
      <c r="D76" s="183">
        <f t="shared" ref="D76:D79" si="1">TRUNC(($D$31*C76),2)</f>
        <v>8.27</v>
      </c>
      <c r="E76" s="156"/>
      <c r="F76" s="156"/>
      <c r="G76" s="156"/>
    </row>
    <row r="77" spans="1:7">
      <c r="A77" s="181" t="s">
        <v>31</v>
      </c>
      <c r="B77" s="156" t="s">
        <v>98</v>
      </c>
      <c r="C77" s="202">
        <v>0.08</v>
      </c>
      <c r="D77" s="186">
        <f>TRUNC(($D$76*C77),2)</f>
        <v>0.66</v>
      </c>
      <c r="E77" s="156"/>
      <c r="F77" s="156"/>
      <c r="G77" s="156"/>
    </row>
    <row r="78" spans="1:7">
      <c r="A78" s="181" t="s">
        <v>34</v>
      </c>
      <c r="B78" s="204" t="s">
        <v>99</v>
      </c>
      <c r="C78" s="205">
        <f>(0.08*0.4*0.05)</f>
        <v>0.0016</v>
      </c>
      <c r="D78" s="199">
        <f t="shared" si="1"/>
        <v>3.17</v>
      </c>
      <c r="E78" s="156"/>
      <c r="F78" s="156"/>
      <c r="G78" s="156"/>
    </row>
    <row r="79" spans="1:7">
      <c r="A79" s="181" t="s">
        <v>36</v>
      </c>
      <c r="B79" s="156" t="s">
        <v>100</v>
      </c>
      <c r="C79" s="206">
        <f>(((7/30)/12)*0.95)</f>
        <v>0.0184722222222222</v>
      </c>
      <c r="D79" s="225">
        <f t="shared" si="1"/>
        <v>36.69</v>
      </c>
      <c r="E79" s="156"/>
      <c r="F79" s="156"/>
      <c r="G79" s="156"/>
    </row>
    <row r="80" ht="30" spans="1:7">
      <c r="A80" s="181" t="s">
        <v>39</v>
      </c>
      <c r="B80" s="204" t="s">
        <v>195</v>
      </c>
      <c r="C80" s="205">
        <f>C55</f>
        <v>0.398</v>
      </c>
      <c r="D80" s="199">
        <f>TRUNC(($D$79*C80),2)</f>
        <v>14.6</v>
      </c>
      <c r="E80" s="156"/>
      <c r="F80" s="156"/>
      <c r="G80" s="156"/>
    </row>
    <row r="81" spans="1:7">
      <c r="A81" s="181" t="s">
        <v>41</v>
      </c>
      <c r="B81" s="204" t="s">
        <v>101</v>
      </c>
      <c r="C81" s="205">
        <f>(0.08*0.4*0.95)</f>
        <v>0.0304</v>
      </c>
      <c r="D81" s="199">
        <f>TRUNC(($D$31*C81),2)</f>
        <v>60.38</v>
      </c>
      <c r="E81" s="156"/>
      <c r="F81" s="156"/>
      <c r="G81" s="156"/>
    </row>
    <row r="82" spans="1:7">
      <c r="A82" s="181" t="s">
        <v>44</v>
      </c>
      <c r="B82" s="156"/>
      <c r="C82" s="202">
        <f>SUM(C76:C81)</f>
        <v>0.532638888888889</v>
      </c>
      <c r="D82" s="186">
        <f>TRUNC((SUM(D76:D81)),2)</f>
        <v>123.77</v>
      </c>
      <c r="E82" s="156"/>
      <c r="F82" s="156"/>
      <c r="G82" s="156"/>
    </row>
    <row r="83" ht="15.75" spans="1:7">
      <c r="A83" s="181"/>
      <c r="B83" s="156"/>
      <c r="C83" s="156"/>
      <c r="D83" s="186"/>
      <c r="E83" s="156"/>
      <c r="F83" s="156"/>
      <c r="G83" s="156"/>
    </row>
    <row r="84" ht="16.5" spans="1:7">
      <c r="A84" s="190" t="s">
        <v>196</v>
      </c>
      <c r="B84" s="190"/>
      <c r="C84" s="191" t="s">
        <v>188</v>
      </c>
      <c r="D84" s="192">
        <f>D31</f>
        <v>1986.4</v>
      </c>
      <c r="E84" s="156"/>
      <c r="F84" s="156"/>
      <c r="G84" s="156"/>
    </row>
    <row r="85" ht="16.5" spans="1:7">
      <c r="A85" s="190"/>
      <c r="B85" s="190"/>
      <c r="C85" s="193" t="s">
        <v>197</v>
      </c>
      <c r="D85" s="192">
        <f>D72</f>
        <v>1667.3</v>
      </c>
      <c r="E85" s="156"/>
      <c r="F85" s="156"/>
      <c r="G85" s="156"/>
    </row>
    <row r="86" ht="16.5" spans="1:7">
      <c r="A86" s="190"/>
      <c r="B86" s="190"/>
      <c r="C86" s="191" t="s">
        <v>198</v>
      </c>
      <c r="D86" s="192">
        <f>D82</f>
        <v>123.77</v>
      </c>
      <c r="E86" s="156"/>
      <c r="F86" s="156"/>
      <c r="G86" s="156"/>
    </row>
    <row r="87" ht="16.5" spans="1:7">
      <c r="A87" s="190"/>
      <c r="B87" s="190"/>
      <c r="C87" s="193" t="s">
        <v>190</v>
      </c>
      <c r="D87" s="194">
        <f>TRUNC((SUM(D84:D86)),2)</f>
        <v>3777.47</v>
      </c>
      <c r="E87" s="156"/>
      <c r="F87" s="156"/>
      <c r="G87" s="156"/>
    </row>
    <row r="88" ht="15.75" spans="1:7">
      <c r="A88" s="181"/>
      <c r="B88" s="156"/>
      <c r="C88" s="156"/>
      <c r="D88" s="186"/>
      <c r="E88" s="156"/>
      <c r="F88" s="156"/>
      <c r="G88" s="156"/>
    </row>
    <row r="89" spans="1:7">
      <c r="A89" s="208" t="s">
        <v>113</v>
      </c>
      <c r="B89" s="208"/>
      <c r="C89" s="208"/>
      <c r="D89" s="208"/>
      <c r="E89" s="156"/>
      <c r="F89" s="156"/>
      <c r="G89" s="156"/>
    </row>
    <row r="90" spans="1:7">
      <c r="A90" s="180" t="s">
        <v>114</v>
      </c>
      <c r="B90" s="180"/>
      <c r="C90" s="180"/>
      <c r="D90" s="180"/>
      <c r="E90" s="156"/>
      <c r="F90" s="156"/>
      <c r="G90" s="156"/>
    </row>
    <row r="91" spans="1:7">
      <c r="A91" s="181" t="s">
        <v>115</v>
      </c>
      <c r="B91" s="156" t="s">
        <v>116</v>
      </c>
      <c r="C91" s="181" t="s">
        <v>24</v>
      </c>
      <c r="D91" s="181" t="s">
        <v>5</v>
      </c>
      <c r="E91" s="156"/>
      <c r="F91" s="156"/>
      <c r="G91" s="156"/>
    </row>
    <row r="92" spans="1:7">
      <c r="A92" s="181" t="s">
        <v>28</v>
      </c>
      <c r="B92" s="156" t="s">
        <v>199</v>
      </c>
      <c r="C92" s="202">
        <f>(((1+1/3)/12)/12)+((1/12)/12)</f>
        <v>0.0162037037037037</v>
      </c>
      <c r="D92" s="186">
        <f t="shared" ref="D92:D96" si="2">TRUNC(($D$87*C92),2)</f>
        <v>61.2</v>
      </c>
      <c r="E92" s="156"/>
      <c r="F92" s="156"/>
      <c r="G92" s="156"/>
    </row>
    <row r="93" spans="1:7">
      <c r="A93" s="181" t="s">
        <v>31</v>
      </c>
      <c r="B93" s="156" t="s">
        <v>119</v>
      </c>
      <c r="C93" s="196">
        <f>((2/30)/12)</f>
        <v>0.00555555555555556</v>
      </c>
      <c r="D93" s="199">
        <f t="shared" si="2"/>
        <v>20.98</v>
      </c>
      <c r="E93" s="156"/>
      <c r="F93" s="156"/>
      <c r="G93" s="156"/>
    </row>
    <row r="94" spans="1:7">
      <c r="A94" s="181" t="s">
        <v>34</v>
      </c>
      <c r="B94" s="156" t="s">
        <v>120</v>
      </c>
      <c r="C94" s="196">
        <f>((5/30)/12)*0.02</f>
        <v>0.000277777777777778</v>
      </c>
      <c r="D94" s="199">
        <f t="shared" si="2"/>
        <v>1.04</v>
      </c>
      <c r="E94" s="156"/>
      <c r="F94" s="156"/>
      <c r="G94" s="156"/>
    </row>
    <row r="95" spans="1:7">
      <c r="A95" s="197" t="s">
        <v>36</v>
      </c>
      <c r="B95" s="204" t="s">
        <v>121</v>
      </c>
      <c r="C95" s="205">
        <f>((15/30)/12)*0.08</f>
        <v>0.00333333333333333</v>
      </c>
      <c r="D95" s="199">
        <f t="shared" si="2"/>
        <v>12.59</v>
      </c>
      <c r="E95" s="156"/>
      <c r="F95" s="156"/>
      <c r="G95" s="156"/>
    </row>
    <row r="96" spans="1:7">
      <c r="A96" s="181" t="s">
        <v>39</v>
      </c>
      <c r="B96" s="156" t="s">
        <v>122</v>
      </c>
      <c r="C96" s="196">
        <f>((1+1/3)/12)*0.03*((4/12))</f>
        <v>0.00111111111111111</v>
      </c>
      <c r="D96" s="199">
        <f t="shared" si="2"/>
        <v>4.19</v>
      </c>
      <c r="E96" s="156"/>
      <c r="F96" s="156"/>
      <c r="G96" s="156"/>
    </row>
    <row r="97" spans="1:7">
      <c r="A97" s="181" t="s">
        <v>41</v>
      </c>
      <c r="B97" s="204" t="s">
        <v>200</v>
      </c>
      <c r="C97" s="209">
        <v>0</v>
      </c>
      <c r="D97" s="199">
        <f>TRUNC($D$87*C97)</f>
        <v>0</v>
      </c>
      <c r="E97" s="156"/>
      <c r="F97" s="156"/>
      <c r="G97" s="156"/>
    </row>
    <row r="98" spans="1:7">
      <c r="A98" s="181" t="s">
        <v>44</v>
      </c>
      <c r="B98" s="156"/>
      <c r="C98" s="202">
        <f>SUM(C92:C97)</f>
        <v>0.0264814814814815</v>
      </c>
      <c r="D98" s="186">
        <f>TRUNC((SUM(D92:D97)),2)</f>
        <v>100</v>
      </c>
      <c r="E98" s="156"/>
      <c r="F98" s="156"/>
      <c r="G98" s="156"/>
    </row>
    <row r="99" spans="1:7">
      <c r="A99" s="181"/>
      <c r="B99" s="156"/>
      <c r="C99" s="181"/>
      <c r="D99" s="186"/>
      <c r="E99" s="156"/>
      <c r="F99" s="156"/>
      <c r="G99" s="156"/>
    </row>
    <row r="100" spans="1:7">
      <c r="A100" s="180" t="s">
        <v>130</v>
      </c>
      <c r="B100" s="180"/>
      <c r="C100" s="180"/>
      <c r="D100" s="180"/>
      <c r="E100" s="156"/>
      <c r="F100" s="156"/>
      <c r="G100" s="156"/>
    </row>
    <row r="101" spans="1:7">
      <c r="A101" s="181" t="s">
        <v>131</v>
      </c>
      <c r="B101" s="156" t="s">
        <v>132</v>
      </c>
      <c r="C101" s="181" t="s">
        <v>4</v>
      </c>
      <c r="D101" s="181" t="s">
        <v>5</v>
      </c>
      <c r="E101" s="156"/>
      <c r="F101" s="156"/>
      <c r="G101" s="156"/>
    </row>
    <row r="102" ht="75" spans="1:7">
      <c r="A102" s="197" t="s">
        <v>28</v>
      </c>
      <c r="B102" s="210" t="s">
        <v>133</v>
      </c>
      <c r="C102" s="211" t="s">
        <v>201</v>
      </c>
      <c r="D102" s="212" t="s">
        <v>202</v>
      </c>
      <c r="E102" s="156"/>
      <c r="F102" s="156"/>
      <c r="G102" s="156"/>
    </row>
    <row r="103" spans="1:7">
      <c r="A103" s="181" t="s">
        <v>44</v>
      </c>
      <c r="B103" s="156"/>
      <c r="C103" s="181"/>
      <c r="D103" s="213" t="str">
        <f>D102</f>
        <v>*=TRUNCAR(($D$86/220)*(1*(365/12))/2)</v>
      </c>
      <c r="E103" s="156"/>
      <c r="F103" s="156"/>
      <c r="G103" s="156"/>
    </row>
    <row r="104" spans="1:7">
      <c r="A104" s="156"/>
      <c r="B104" s="156"/>
      <c r="C104" s="156"/>
      <c r="D104" s="156"/>
      <c r="E104" s="156"/>
      <c r="F104" s="156"/>
      <c r="G104" s="156"/>
    </row>
    <row r="105" spans="1:7">
      <c r="A105" s="180" t="s">
        <v>134</v>
      </c>
      <c r="B105" s="180"/>
      <c r="C105" s="180"/>
      <c r="D105" s="180"/>
      <c r="E105" s="156"/>
      <c r="F105" s="156"/>
      <c r="G105" s="156"/>
    </row>
    <row r="106" spans="1:7">
      <c r="A106" s="181" t="s">
        <v>135</v>
      </c>
      <c r="B106" s="156" t="s">
        <v>136</v>
      </c>
      <c r="C106" s="181" t="s">
        <v>4</v>
      </c>
      <c r="D106" s="181" t="s">
        <v>5</v>
      </c>
      <c r="E106" s="156"/>
      <c r="F106" s="156"/>
      <c r="G106" s="156"/>
    </row>
    <row r="107" spans="1:7">
      <c r="A107" s="181" t="s">
        <v>115</v>
      </c>
      <c r="B107" s="156" t="s">
        <v>116</v>
      </c>
      <c r="C107" s="156"/>
      <c r="D107" s="183">
        <f>D98</f>
        <v>100</v>
      </c>
      <c r="E107" s="156"/>
      <c r="F107" s="156"/>
      <c r="G107" s="156"/>
    </row>
    <row r="108" spans="1:7">
      <c r="A108" s="181" t="s">
        <v>131</v>
      </c>
      <c r="B108" s="156" t="s">
        <v>137</v>
      </c>
      <c r="C108" s="156"/>
      <c r="D108" s="214" t="str">
        <f>Submódulo4.260_8120[[#Totals],[Valor]]</f>
        <v>*=TRUNCAR(($D$86/220)*(1*(365/12))/2)</v>
      </c>
      <c r="E108" s="156"/>
      <c r="F108" s="156"/>
      <c r="G108" s="156"/>
    </row>
    <row r="109" ht="45" spans="1:7">
      <c r="A109" s="197" t="s">
        <v>44</v>
      </c>
      <c r="B109" s="198"/>
      <c r="C109" s="211" t="s">
        <v>203</v>
      </c>
      <c r="D109" s="203">
        <f>TRUNC((SUM(D107:D108)),2)</f>
        <v>100</v>
      </c>
      <c r="E109" s="156"/>
      <c r="F109" s="156"/>
      <c r="G109" s="156"/>
    </row>
    <row r="110" spans="1:7">
      <c r="A110" s="156"/>
      <c r="B110" s="156"/>
      <c r="C110" s="156"/>
      <c r="D110" s="156"/>
      <c r="E110" s="156"/>
      <c r="F110" s="156"/>
      <c r="G110" s="156"/>
    </row>
    <row r="111" spans="1:7">
      <c r="A111" s="164" t="s">
        <v>138</v>
      </c>
      <c r="B111" s="164"/>
      <c r="C111" s="164"/>
      <c r="D111" s="164"/>
      <c r="E111" s="156"/>
      <c r="F111" s="156"/>
      <c r="G111" s="156"/>
    </row>
    <row r="112" spans="1:7">
      <c r="A112" s="181" t="s">
        <v>139</v>
      </c>
      <c r="B112" s="156" t="s">
        <v>140</v>
      </c>
      <c r="C112" s="181" t="s">
        <v>4</v>
      </c>
      <c r="D112" s="181" t="s">
        <v>5</v>
      </c>
      <c r="E112" s="156"/>
      <c r="F112" s="156"/>
      <c r="G112" s="156"/>
    </row>
    <row r="113" spans="1:7">
      <c r="A113" s="181" t="s">
        <v>28</v>
      </c>
      <c r="B113" s="156" t="s">
        <v>204</v>
      </c>
      <c r="C113" s="156"/>
      <c r="D113" s="183">
        <f>Uniformes!G59</f>
        <v>200.28</v>
      </c>
      <c r="E113" s="156"/>
      <c r="F113" s="156"/>
      <c r="G113" s="156"/>
    </row>
    <row r="114" spans="1:7">
      <c r="A114" s="181" t="s">
        <v>31</v>
      </c>
      <c r="B114" s="156" t="s">
        <v>205</v>
      </c>
      <c r="C114" s="156"/>
      <c r="D114" s="183">
        <f>EPC!E21</f>
        <v>17.95</v>
      </c>
      <c r="E114" s="156"/>
      <c r="F114" s="156"/>
      <c r="G114" s="156"/>
    </row>
    <row r="115" spans="1:7">
      <c r="A115" s="181" t="s">
        <v>34</v>
      </c>
      <c r="B115" s="156" t="s">
        <v>142</v>
      </c>
      <c r="C115" s="156"/>
      <c r="D115" s="183">
        <f>'Materiais e Equipamentos'!E85</f>
        <v>304.07</v>
      </c>
      <c r="E115" s="156"/>
      <c r="F115" s="156"/>
      <c r="G115" s="156"/>
    </row>
    <row r="116" spans="1:7">
      <c r="A116" s="181" t="s">
        <v>36</v>
      </c>
      <c r="B116" s="156" t="s">
        <v>143</v>
      </c>
      <c r="C116" s="156"/>
      <c r="D116" s="183">
        <f>'Materiais e Equipamentos'!F116</f>
        <v>74.32</v>
      </c>
      <c r="E116" s="156"/>
      <c r="F116" s="156"/>
      <c r="G116" s="156"/>
    </row>
    <row r="117" spans="1:7">
      <c r="A117" s="181" t="s">
        <v>39</v>
      </c>
      <c r="B117" s="156" t="s">
        <v>42</v>
      </c>
      <c r="C117" s="156"/>
      <c r="D117" s="183">
        <f>H116</f>
        <v>0</v>
      </c>
      <c r="E117" s="156"/>
      <c r="F117" s="156"/>
      <c r="G117" s="156"/>
    </row>
    <row r="118" spans="1:7">
      <c r="A118" s="181" t="s">
        <v>44</v>
      </c>
      <c r="B118" s="156"/>
      <c r="C118" s="156"/>
      <c r="D118" s="186">
        <f>TRUNC(SUM((D113:D117)),2)</f>
        <v>596.62</v>
      </c>
      <c r="E118" s="156"/>
      <c r="F118" s="156"/>
      <c r="G118" s="156"/>
    </row>
    <row r="119" spans="1:7">
      <c r="A119" s="156"/>
      <c r="B119" s="156"/>
      <c r="C119" s="156"/>
      <c r="D119" s="156"/>
      <c r="E119" s="156"/>
      <c r="F119" s="156"/>
      <c r="G119" s="156"/>
    </row>
    <row r="120" ht="16.5" spans="1:7">
      <c r="A120" s="190" t="s">
        <v>207</v>
      </c>
      <c r="B120" s="190"/>
      <c r="C120" s="191" t="s">
        <v>188</v>
      </c>
      <c r="D120" s="192">
        <f>D31</f>
        <v>1986.4</v>
      </c>
      <c r="E120" s="156"/>
      <c r="F120" s="156"/>
      <c r="G120" s="156"/>
    </row>
    <row r="121" ht="16.5" spans="1:7">
      <c r="A121" s="190"/>
      <c r="B121" s="190"/>
      <c r="C121" s="193" t="s">
        <v>197</v>
      </c>
      <c r="D121" s="192">
        <f>D72</f>
        <v>1667.3</v>
      </c>
      <c r="E121" s="156"/>
      <c r="F121" s="156"/>
      <c r="G121" s="156"/>
    </row>
    <row r="122" ht="16.5" spans="1:7">
      <c r="A122" s="190"/>
      <c r="B122" s="190"/>
      <c r="C122" s="191" t="s">
        <v>198</v>
      </c>
      <c r="D122" s="192">
        <f>D82</f>
        <v>123.77</v>
      </c>
      <c r="E122" s="156"/>
      <c r="F122" s="156"/>
      <c r="G122" s="156"/>
    </row>
    <row r="123" ht="16.5" spans="1:7">
      <c r="A123" s="190"/>
      <c r="B123" s="190"/>
      <c r="C123" s="193" t="s">
        <v>208</v>
      </c>
      <c r="D123" s="192">
        <f>D109</f>
        <v>100</v>
      </c>
      <c r="E123" s="156"/>
      <c r="F123" s="156"/>
      <c r="G123" s="156"/>
    </row>
    <row r="124" ht="16.5" spans="1:7">
      <c r="A124" s="190"/>
      <c r="B124" s="190"/>
      <c r="C124" s="191" t="s">
        <v>209</v>
      </c>
      <c r="D124" s="192">
        <f>D118</f>
        <v>596.62</v>
      </c>
      <c r="E124" s="156"/>
      <c r="F124" s="156"/>
      <c r="G124" s="156"/>
    </row>
    <row r="125" ht="16.5" spans="1:7">
      <c r="A125" s="190"/>
      <c r="B125" s="190"/>
      <c r="C125" s="193" t="s">
        <v>190</v>
      </c>
      <c r="D125" s="194">
        <f>TRUNC((SUM(D120:D124)),2)</f>
        <v>4474.09</v>
      </c>
      <c r="E125" s="156"/>
      <c r="F125" s="156"/>
      <c r="G125" s="156"/>
    </row>
    <row r="126" ht="15.75" spans="1:7">
      <c r="A126" s="156"/>
      <c r="B126" s="156"/>
      <c r="C126" s="156"/>
      <c r="D126" s="156"/>
      <c r="E126" s="156"/>
      <c r="F126" s="156"/>
      <c r="G126" s="156"/>
    </row>
    <row r="127" spans="1:7">
      <c r="A127" s="164" t="s">
        <v>150</v>
      </c>
      <c r="B127" s="164"/>
      <c r="C127" s="164"/>
      <c r="D127" s="164"/>
      <c r="E127" s="156"/>
      <c r="F127" s="156"/>
      <c r="G127" s="156"/>
    </row>
    <row r="128" spans="1:7">
      <c r="A128" s="181" t="s">
        <v>151</v>
      </c>
      <c r="B128" s="156" t="s">
        <v>152</v>
      </c>
      <c r="C128" s="181" t="s">
        <v>24</v>
      </c>
      <c r="D128" s="181" t="s">
        <v>5</v>
      </c>
      <c r="E128" s="156"/>
      <c r="F128" s="215" t="s">
        <v>210</v>
      </c>
      <c r="G128" s="215"/>
    </row>
    <row r="129" ht="15.75" spans="1:7">
      <c r="A129" s="181" t="s">
        <v>28</v>
      </c>
      <c r="B129" s="156" t="s">
        <v>153</v>
      </c>
      <c r="C129" s="196">
        <v>0.044</v>
      </c>
      <c r="D129" s="183">
        <f>TRUNC(($D$125*C129),2)</f>
        <v>196.85</v>
      </c>
      <c r="E129" s="156"/>
      <c r="F129" s="216" t="s">
        <v>211</v>
      </c>
      <c r="G129" s="205">
        <f>C131</f>
        <v>0.0865</v>
      </c>
    </row>
    <row r="130" ht="15.75" spans="1:7">
      <c r="A130" s="181" t="s">
        <v>31</v>
      </c>
      <c r="B130" s="156" t="s">
        <v>45</v>
      </c>
      <c r="C130" s="196">
        <v>0.0413</v>
      </c>
      <c r="D130" s="183">
        <f>TRUNC((C130*(D125+D129)),2)</f>
        <v>192.9</v>
      </c>
      <c r="E130" s="156"/>
      <c r="F130" s="217" t="s">
        <v>212</v>
      </c>
      <c r="G130" s="226">
        <f>TRUNC(SUM(D125,D129,D130),2)</f>
        <v>4863.84</v>
      </c>
    </row>
    <row r="131" spans="1:7">
      <c r="A131" s="181" t="s">
        <v>34</v>
      </c>
      <c r="B131" s="156" t="s">
        <v>154</v>
      </c>
      <c r="C131" s="196">
        <f>SUM(C132:C134)</f>
        <v>0.0865</v>
      </c>
      <c r="D131" s="183">
        <f>TRUNC((SUM(D132:D134)),2)</f>
        <v>460.55</v>
      </c>
      <c r="E131" s="156"/>
      <c r="F131" s="216" t="s">
        <v>213</v>
      </c>
      <c r="G131" s="219">
        <f>(100-8.65)/100</f>
        <v>0.9135</v>
      </c>
    </row>
    <row r="132" ht="15.75" spans="1:7">
      <c r="A132" s="181"/>
      <c r="B132" s="156" t="s">
        <v>214</v>
      </c>
      <c r="C132" s="196">
        <v>0.0065</v>
      </c>
      <c r="D132" s="183">
        <f t="shared" ref="D132:D134" si="3">TRUNC(($G$132*C132),2)</f>
        <v>34.6</v>
      </c>
      <c r="E132" s="156"/>
      <c r="F132" s="217" t="s">
        <v>210</v>
      </c>
      <c r="G132" s="226">
        <f>TRUNC((G130/G131),2)</f>
        <v>5324.4</v>
      </c>
    </row>
    <row r="133" ht="15.75" spans="1:7">
      <c r="A133" s="181"/>
      <c r="B133" s="156" t="s">
        <v>215</v>
      </c>
      <c r="C133" s="196">
        <v>0.03</v>
      </c>
      <c r="D133" s="183">
        <f t="shared" si="3"/>
        <v>159.73</v>
      </c>
      <c r="E133" s="156"/>
      <c r="F133" s="156"/>
      <c r="G133" s="156"/>
    </row>
    <row r="134" spans="1:7">
      <c r="A134" s="181"/>
      <c r="B134" s="156" t="s">
        <v>216</v>
      </c>
      <c r="C134" s="196">
        <v>0.05</v>
      </c>
      <c r="D134" s="183">
        <f t="shared" si="3"/>
        <v>266.22</v>
      </c>
      <c r="E134" s="156"/>
      <c r="F134" s="156"/>
      <c r="G134" s="156"/>
    </row>
    <row r="135" spans="1:7">
      <c r="A135" s="181" t="s">
        <v>44</v>
      </c>
      <c r="B135" s="156"/>
      <c r="C135" s="181"/>
      <c r="D135" s="186">
        <f>TRUNC(SUM(D129:D131),2)</f>
        <v>850.3</v>
      </c>
      <c r="E135" s="156"/>
      <c r="F135" s="156"/>
      <c r="G135" s="156"/>
    </row>
    <row r="136" spans="1:7">
      <c r="A136" s="181"/>
      <c r="B136" s="156"/>
      <c r="C136" s="181"/>
      <c r="D136" s="186"/>
      <c r="E136" s="156"/>
      <c r="F136" s="156"/>
      <c r="G136" s="156"/>
    </row>
    <row r="137" spans="1:7">
      <c r="A137" s="156"/>
      <c r="B137" s="156"/>
      <c r="C137" s="156"/>
      <c r="D137" s="156"/>
      <c r="E137" s="156"/>
      <c r="F137" s="156"/>
      <c r="G137" s="156"/>
    </row>
    <row r="138" spans="1:7">
      <c r="A138" s="164" t="s">
        <v>158</v>
      </c>
      <c r="B138" s="164"/>
      <c r="C138" s="164"/>
      <c r="D138" s="164"/>
      <c r="E138" s="156"/>
      <c r="F138" s="156"/>
      <c r="G138" s="156"/>
    </row>
    <row r="139" spans="1:7">
      <c r="A139" s="181" t="s">
        <v>2</v>
      </c>
      <c r="B139" s="181" t="s">
        <v>159</v>
      </c>
      <c r="C139" s="181" t="s">
        <v>88</v>
      </c>
      <c r="D139" s="181" t="s">
        <v>5</v>
      </c>
      <c r="E139" s="156"/>
      <c r="F139" s="156"/>
      <c r="G139" s="156"/>
    </row>
    <row r="140" spans="1:7">
      <c r="A140" s="181" t="s">
        <v>28</v>
      </c>
      <c r="B140" s="156" t="s">
        <v>22</v>
      </c>
      <c r="C140" s="156"/>
      <c r="D140" s="186">
        <f>D31</f>
        <v>1986.4</v>
      </c>
      <c r="E140" s="156"/>
      <c r="F140" s="156"/>
      <c r="G140" s="156"/>
    </row>
    <row r="141" spans="1:7">
      <c r="A141" s="181" t="s">
        <v>31</v>
      </c>
      <c r="B141" s="156" t="s">
        <v>47</v>
      </c>
      <c r="C141" s="156"/>
      <c r="D141" s="186">
        <f>D72</f>
        <v>1667.3</v>
      </c>
      <c r="E141" s="156"/>
      <c r="F141" s="156"/>
      <c r="G141" s="156"/>
    </row>
    <row r="142" spans="1:7">
      <c r="A142" s="181" t="s">
        <v>34</v>
      </c>
      <c r="B142" s="156" t="s">
        <v>94</v>
      </c>
      <c r="C142" s="156"/>
      <c r="D142" s="186">
        <f>D82</f>
        <v>123.77</v>
      </c>
      <c r="E142" s="156"/>
      <c r="F142" s="156"/>
      <c r="G142" s="156"/>
    </row>
    <row r="143" spans="1:7">
      <c r="A143" s="181" t="s">
        <v>36</v>
      </c>
      <c r="B143" s="156" t="s">
        <v>160</v>
      </c>
      <c r="C143" s="156"/>
      <c r="D143" s="186">
        <f>D109</f>
        <v>100</v>
      </c>
      <c r="E143" s="156"/>
      <c r="F143" s="156"/>
      <c r="G143" s="156"/>
    </row>
    <row r="144" spans="1:7">
      <c r="A144" s="181" t="s">
        <v>39</v>
      </c>
      <c r="B144" s="156" t="s">
        <v>138</v>
      </c>
      <c r="C144" s="156"/>
      <c r="D144" s="186">
        <f>D118</f>
        <v>596.62</v>
      </c>
      <c r="E144" s="156"/>
      <c r="F144" s="156"/>
      <c r="G144" s="156"/>
    </row>
    <row r="145" spans="1:7">
      <c r="A145" s="156"/>
      <c r="B145" s="220" t="s">
        <v>161</v>
      </c>
      <c r="C145" s="156"/>
      <c r="D145" s="186">
        <f>TRUNC(SUM(D140:D144),2)</f>
        <v>4474.09</v>
      </c>
      <c r="E145" s="156"/>
      <c r="F145" s="156"/>
      <c r="G145" s="156"/>
    </row>
    <row r="146" spans="1:7">
      <c r="A146" s="181" t="s">
        <v>41</v>
      </c>
      <c r="B146" s="156" t="s">
        <v>150</v>
      </c>
      <c r="C146" s="156"/>
      <c r="D146" s="186">
        <f>D135</f>
        <v>850.3</v>
      </c>
      <c r="E146" s="156"/>
      <c r="F146" s="156"/>
      <c r="G146" s="156"/>
    </row>
    <row r="147" spans="1:7">
      <c r="A147" s="221"/>
      <c r="B147" s="222" t="s">
        <v>217</v>
      </c>
      <c r="C147" s="221"/>
      <c r="D147" s="223">
        <f>TRUNC((SUM(D140:D144)+D146),2)</f>
        <v>5324.39</v>
      </c>
      <c r="E147" s="156"/>
      <c r="F147" s="156"/>
      <c r="G147" s="156"/>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24" workbookViewId="0">
      <selection activeCell="A2" sqref="A2:D147"/>
    </sheetView>
  </sheetViews>
  <sheetFormatPr defaultColWidth="9.14285714285714" defaultRowHeight="15" outlineLevelCol="6"/>
  <cols>
    <col min="1" max="1" width="11" customWidth="1"/>
    <col min="2" max="2" width="48" customWidth="1"/>
    <col min="3" max="4" width="32.5714285714286" customWidth="1"/>
    <col min="6" max="6" width="23.7142857142857" customWidth="1"/>
    <col min="7" max="7" width="13.7142857142857" customWidth="1"/>
  </cols>
  <sheetData>
    <row r="1" spans="1:7">
      <c r="A1" s="156"/>
      <c r="B1" s="156"/>
      <c r="C1" s="156"/>
      <c r="D1" s="156"/>
      <c r="E1" s="156"/>
      <c r="F1" s="156"/>
      <c r="G1" s="156"/>
    </row>
    <row r="2" ht="19.5" spans="1:7">
      <c r="A2" s="157" t="s">
        <v>163</v>
      </c>
      <c r="B2" s="157"/>
      <c r="C2" s="157"/>
      <c r="D2" s="157"/>
      <c r="E2" s="156"/>
      <c r="F2" s="156"/>
      <c r="G2" s="156"/>
    </row>
    <row r="3" ht="15.75" spans="1:7">
      <c r="A3" s="158" t="s">
        <v>226</v>
      </c>
      <c r="B3" s="158"/>
      <c r="C3" s="158"/>
      <c r="D3" s="158"/>
      <c r="E3" s="156"/>
      <c r="F3" s="156"/>
      <c r="G3" s="156"/>
    </row>
    <row r="4" spans="1:7">
      <c r="A4" s="159" t="s">
        <v>165</v>
      </c>
      <c r="B4" s="160" t="s">
        <v>166</v>
      </c>
      <c r="C4" s="161"/>
      <c r="D4" s="161"/>
      <c r="E4" s="156"/>
      <c r="F4" s="156"/>
      <c r="G4" s="156"/>
    </row>
    <row r="5" spans="1:7">
      <c r="A5" s="162"/>
      <c r="B5" s="163"/>
      <c r="C5" s="163"/>
      <c r="D5" s="163"/>
      <c r="E5" s="156"/>
      <c r="F5" s="156"/>
      <c r="G5" s="156"/>
    </row>
    <row r="6" ht="15.75" spans="1:7">
      <c r="A6" s="164" t="s">
        <v>167</v>
      </c>
      <c r="B6" s="164"/>
      <c r="C6" s="164"/>
      <c r="D6" s="164"/>
      <c r="E6" s="156"/>
      <c r="F6" s="156"/>
      <c r="G6" s="156"/>
    </row>
    <row r="7" ht="15.75" spans="1:7">
      <c r="A7" s="165" t="s">
        <v>28</v>
      </c>
      <c r="B7" s="166" t="s">
        <v>168</v>
      </c>
      <c r="C7" s="167" t="s">
        <v>169</v>
      </c>
      <c r="D7" s="167"/>
      <c r="E7" s="156"/>
      <c r="F7" s="156"/>
      <c r="G7" s="156"/>
    </row>
    <row r="8" spans="1:7">
      <c r="A8" s="168" t="s">
        <v>31</v>
      </c>
      <c r="B8" s="169" t="s">
        <v>170</v>
      </c>
      <c r="C8" s="170" t="s">
        <v>171</v>
      </c>
      <c r="D8" s="170"/>
      <c r="E8" s="156"/>
      <c r="F8" s="156"/>
      <c r="G8" s="156"/>
    </row>
    <row r="9" spans="1:7">
      <c r="A9" s="171" t="s">
        <v>34</v>
      </c>
      <c r="B9" s="172" t="s">
        <v>172</v>
      </c>
      <c r="C9" s="170" t="s">
        <v>227</v>
      </c>
      <c r="D9" s="170"/>
      <c r="E9" s="156"/>
      <c r="F9" s="156"/>
      <c r="G9" s="156"/>
    </row>
    <row r="10" spans="1:7">
      <c r="A10" s="168" t="s">
        <v>39</v>
      </c>
      <c r="B10" s="169" t="s">
        <v>174</v>
      </c>
      <c r="C10" s="170" t="s">
        <v>175</v>
      </c>
      <c r="D10" s="170"/>
      <c r="E10" s="156"/>
      <c r="F10" s="156"/>
      <c r="G10" s="156"/>
    </row>
    <row r="11" ht="15.75" spans="1:7">
      <c r="A11" s="173" t="s">
        <v>176</v>
      </c>
      <c r="B11" s="173"/>
      <c r="C11" s="173"/>
      <c r="D11" s="173"/>
      <c r="E11" s="156"/>
      <c r="F11" s="156"/>
      <c r="G11" s="156"/>
    </row>
    <row r="12" ht="16.5" spans="1:7">
      <c r="A12" s="174" t="s">
        <v>177</v>
      </c>
      <c r="B12" s="174"/>
      <c r="C12" s="173" t="s">
        <v>178</v>
      </c>
      <c r="D12" s="175" t="s">
        <v>179</v>
      </c>
      <c r="E12" s="156"/>
      <c r="F12" s="156"/>
      <c r="G12" s="156"/>
    </row>
    <row r="13" ht="15.75" spans="1:7">
      <c r="A13" s="176" t="s">
        <v>233</v>
      </c>
      <c r="B13" s="176"/>
      <c r="C13" s="170" t="s">
        <v>181</v>
      </c>
      <c r="D13" s="177">
        <f>RESUMO!D7</f>
        <v>1</v>
      </c>
      <c r="E13" s="156"/>
      <c r="F13" s="156"/>
      <c r="G13" s="156"/>
    </row>
    <row r="14" spans="1:7">
      <c r="A14" s="178"/>
      <c r="B14" s="178"/>
      <c r="C14" s="170"/>
      <c r="D14" s="179"/>
      <c r="E14" s="156"/>
      <c r="F14" s="156"/>
      <c r="G14" s="156"/>
    </row>
    <row r="15" ht="15.75" spans="1:7">
      <c r="A15" s="173" t="s">
        <v>0</v>
      </c>
      <c r="B15" s="173"/>
      <c r="C15" s="173"/>
      <c r="D15" s="173"/>
      <c r="E15" s="156"/>
      <c r="F15" s="180"/>
      <c r="G15" s="180"/>
    </row>
    <row r="16" ht="15.75" spans="1:7">
      <c r="A16" s="181" t="s">
        <v>2</v>
      </c>
      <c r="B16" s="156" t="s">
        <v>3</v>
      </c>
      <c r="C16" s="181" t="s">
        <v>4</v>
      </c>
      <c r="D16" s="181" t="s">
        <v>5</v>
      </c>
      <c r="E16" s="156"/>
      <c r="F16" s="156"/>
      <c r="G16" s="156"/>
    </row>
    <row r="17" spans="1:7">
      <c r="A17" s="181">
        <v>1</v>
      </c>
      <c r="B17" s="156" t="s">
        <v>6</v>
      </c>
      <c r="C17" s="182" t="s">
        <v>88</v>
      </c>
      <c r="D17" s="182" t="str">
        <f>A13</f>
        <v>Auxiliar de Manutenção Predial</v>
      </c>
      <c r="E17" s="156"/>
      <c r="F17" s="156"/>
      <c r="G17" s="156"/>
    </row>
    <row r="18" spans="1:7">
      <c r="A18" s="181">
        <v>2</v>
      </c>
      <c r="B18" s="156" t="s">
        <v>9</v>
      </c>
      <c r="C18" s="182" t="s">
        <v>182</v>
      </c>
      <c r="D18" s="182" t="s">
        <v>234</v>
      </c>
      <c r="E18" s="156"/>
      <c r="F18" s="156"/>
      <c r="G18" s="156"/>
    </row>
    <row r="19" spans="1:7">
      <c r="A19" s="181">
        <v>3</v>
      </c>
      <c r="B19" s="156" t="s">
        <v>12</v>
      </c>
      <c r="C19" s="182" t="str">
        <f>C9</f>
        <v>CCT PB 000047/2021</v>
      </c>
      <c r="D19" s="183">
        <v>1640</v>
      </c>
      <c r="E19" s="156"/>
      <c r="F19" s="156"/>
      <c r="G19" s="156"/>
    </row>
    <row r="20" spans="1:7">
      <c r="A20" s="181">
        <v>4</v>
      </c>
      <c r="B20" s="156" t="s">
        <v>15</v>
      </c>
      <c r="C20" s="182" t="str">
        <f>C9</f>
        <v>CCT PB 000047/2021</v>
      </c>
      <c r="D20" s="182" t="s">
        <v>184</v>
      </c>
      <c r="E20" s="156"/>
      <c r="F20" s="156"/>
      <c r="G20" s="156"/>
    </row>
    <row r="21" spans="1:7">
      <c r="A21" s="181">
        <v>5</v>
      </c>
      <c r="B21" s="156" t="s">
        <v>19</v>
      </c>
      <c r="C21" s="182" t="str">
        <f>C9</f>
        <v>CCT PB 000047/2021</v>
      </c>
      <c r="D21" s="184" t="s">
        <v>185</v>
      </c>
      <c r="E21" s="156"/>
      <c r="F21" s="156"/>
      <c r="G21" s="156"/>
    </row>
    <row r="22" spans="1:7">
      <c r="A22" s="156"/>
      <c r="B22" s="156"/>
      <c r="C22" s="156"/>
      <c r="D22" s="156"/>
      <c r="E22" s="156"/>
      <c r="F22" s="180"/>
      <c r="G22" s="180"/>
    </row>
    <row r="23" spans="1:7">
      <c r="A23" s="164" t="s">
        <v>22</v>
      </c>
      <c r="B23" s="164"/>
      <c r="C23" s="164"/>
      <c r="D23" s="164"/>
      <c r="E23" s="156"/>
      <c r="F23" s="156"/>
      <c r="G23" s="156"/>
    </row>
    <row r="24" spans="1:7">
      <c r="A24" s="181" t="s">
        <v>25</v>
      </c>
      <c r="B24" s="156" t="s">
        <v>26</v>
      </c>
      <c r="C24" s="181" t="s">
        <v>4</v>
      </c>
      <c r="D24" s="181" t="s">
        <v>5</v>
      </c>
      <c r="E24" s="156"/>
      <c r="F24" s="156"/>
      <c r="G24" s="185"/>
    </row>
    <row r="25" spans="1:7">
      <c r="A25" s="181" t="s">
        <v>28</v>
      </c>
      <c r="B25" s="156" t="s">
        <v>29</v>
      </c>
      <c r="C25" s="182" t="s">
        <v>235</v>
      </c>
      <c r="D25" s="183">
        <f>D19</f>
        <v>1640</v>
      </c>
      <c r="E25" s="156"/>
      <c r="F25" s="156"/>
      <c r="G25" s="185"/>
    </row>
    <row r="26" spans="1:7">
      <c r="A26" s="181" t="s">
        <v>31</v>
      </c>
      <c r="B26" s="156" t="s">
        <v>32</v>
      </c>
      <c r="C26" s="182"/>
      <c r="D26" s="183">
        <v>0</v>
      </c>
      <c r="E26" s="156"/>
      <c r="F26" s="156"/>
      <c r="G26" s="185"/>
    </row>
    <row r="27" spans="1:7">
      <c r="A27" s="181" t="s">
        <v>34</v>
      </c>
      <c r="B27" s="156" t="s">
        <v>35</v>
      </c>
      <c r="C27" s="182"/>
      <c r="D27" s="183">
        <v>0</v>
      </c>
      <c r="E27" s="156"/>
      <c r="F27" s="156"/>
      <c r="G27" s="156"/>
    </row>
    <row r="28" spans="1:7">
      <c r="A28" s="181" t="s">
        <v>36</v>
      </c>
      <c r="B28" s="156" t="s">
        <v>37</v>
      </c>
      <c r="C28" s="182"/>
      <c r="D28" s="183">
        <v>0</v>
      </c>
      <c r="E28" s="156"/>
      <c r="F28" s="156"/>
      <c r="G28" s="156"/>
    </row>
    <row r="29" spans="1:7">
      <c r="A29" s="181" t="s">
        <v>39</v>
      </c>
      <c r="B29" s="156" t="s">
        <v>40</v>
      </c>
      <c r="C29" s="182"/>
      <c r="D29" s="183">
        <v>0</v>
      </c>
      <c r="E29" s="156"/>
      <c r="F29" s="156"/>
      <c r="G29" s="156"/>
    </row>
    <row r="30" spans="1:7">
      <c r="A30" s="181" t="s">
        <v>41</v>
      </c>
      <c r="B30" s="156" t="s">
        <v>42</v>
      </c>
      <c r="C30" s="182"/>
      <c r="D30" s="183">
        <v>0</v>
      </c>
      <c r="E30" s="156"/>
      <c r="F30" s="156"/>
      <c r="G30" s="156"/>
    </row>
    <row r="31" spans="1:7">
      <c r="A31" s="181" t="s">
        <v>44</v>
      </c>
      <c r="B31" s="156"/>
      <c r="C31" s="181"/>
      <c r="D31" s="186">
        <f>TRUNC(SUM(D25:D30),2)</f>
        <v>1640</v>
      </c>
      <c r="E31" s="156"/>
      <c r="F31" s="180"/>
      <c r="G31" s="180"/>
    </row>
    <row r="32" spans="1:7">
      <c r="A32" s="156"/>
      <c r="B32" s="156"/>
      <c r="C32" s="156"/>
      <c r="D32" s="156"/>
      <c r="E32" s="156"/>
      <c r="F32" s="156"/>
      <c r="G32" s="156"/>
    </row>
    <row r="33" spans="1:7">
      <c r="A33" s="187" t="s">
        <v>47</v>
      </c>
      <c r="B33" s="187"/>
      <c r="C33" s="187"/>
      <c r="D33" s="187"/>
      <c r="E33" s="156"/>
      <c r="F33" s="156"/>
      <c r="G33" s="185"/>
    </row>
    <row r="34" spans="1:7">
      <c r="A34" s="156"/>
      <c r="B34" s="156"/>
      <c r="C34" s="156"/>
      <c r="D34" s="156"/>
      <c r="E34" s="156"/>
      <c r="F34" s="156"/>
      <c r="G34" s="156"/>
    </row>
    <row r="35" spans="1:7">
      <c r="A35" s="180" t="s">
        <v>49</v>
      </c>
      <c r="B35" s="180"/>
      <c r="C35" s="180"/>
      <c r="D35" s="180"/>
      <c r="E35" s="156"/>
      <c r="F35" s="156"/>
      <c r="G35" s="156"/>
    </row>
    <row r="36" spans="1:7">
      <c r="A36" s="181" t="s">
        <v>51</v>
      </c>
      <c r="B36" s="156" t="s">
        <v>52</v>
      </c>
      <c r="C36" s="181" t="s">
        <v>24</v>
      </c>
      <c r="D36" s="181" t="s">
        <v>5</v>
      </c>
      <c r="E36" s="156"/>
      <c r="F36" s="156"/>
      <c r="G36" s="156"/>
    </row>
    <row r="37" spans="1:7">
      <c r="A37" s="181" t="s">
        <v>28</v>
      </c>
      <c r="B37" s="156" t="s">
        <v>53</v>
      </c>
      <c r="C37" s="188">
        <f>(1/12)</f>
        <v>0.0833333333333333</v>
      </c>
      <c r="D37" s="186">
        <f>TRUNC($D$31*C37,2)</f>
        <v>136.66</v>
      </c>
      <c r="E37" s="156"/>
      <c r="F37" s="189"/>
      <c r="G37" s="189"/>
    </row>
    <row r="38" spans="1:7">
      <c r="A38" s="181" t="s">
        <v>31</v>
      </c>
      <c r="B38" s="156" t="s">
        <v>54</v>
      </c>
      <c r="C38" s="188">
        <f>(((1+1/3)/12))</f>
        <v>0.111111111111111</v>
      </c>
      <c r="D38" s="186">
        <f>TRUNC($D$31*C38,2)</f>
        <v>182.22</v>
      </c>
      <c r="E38" s="156"/>
      <c r="F38" s="189"/>
      <c r="G38" s="189"/>
    </row>
    <row r="39" spans="1:7">
      <c r="A39" s="181" t="s">
        <v>44</v>
      </c>
      <c r="B39" s="156"/>
      <c r="C39" s="156"/>
      <c r="D39" s="186">
        <f>TRUNC((SUM(D37:D38)),2)</f>
        <v>318.88</v>
      </c>
      <c r="E39" s="156"/>
      <c r="F39" s="189"/>
      <c r="G39" s="189"/>
    </row>
    <row r="40" ht="15.75" spans="1:7">
      <c r="A40" s="156"/>
      <c r="B40" s="156"/>
      <c r="C40" s="156"/>
      <c r="D40" s="186"/>
      <c r="E40" s="156"/>
      <c r="F40" s="189"/>
      <c r="G40" s="189"/>
    </row>
    <row r="41" ht="16.5" spans="1:7">
      <c r="A41" s="190" t="s">
        <v>187</v>
      </c>
      <c r="B41" s="190"/>
      <c r="C41" s="191" t="s">
        <v>188</v>
      </c>
      <c r="D41" s="192">
        <f>D31</f>
        <v>1640</v>
      </c>
      <c r="E41" s="156"/>
      <c r="F41" s="189"/>
      <c r="G41" s="189"/>
    </row>
    <row r="42" ht="16.5" spans="1:7">
      <c r="A42" s="190"/>
      <c r="B42" s="190"/>
      <c r="C42" s="193" t="s">
        <v>189</v>
      </c>
      <c r="D42" s="192">
        <f>D39</f>
        <v>318.88</v>
      </c>
      <c r="E42" s="156"/>
      <c r="F42" s="189"/>
      <c r="G42" s="189"/>
    </row>
    <row r="43" ht="16.5" spans="1:7">
      <c r="A43" s="190"/>
      <c r="B43" s="190"/>
      <c r="C43" s="191" t="s">
        <v>190</v>
      </c>
      <c r="D43" s="194">
        <f>TRUNC((SUM(D41:D42)),2)</f>
        <v>1958.88</v>
      </c>
      <c r="E43" s="156"/>
      <c r="F43" s="189"/>
      <c r="G43" s="189"/>
    </row>
    <row r="44" ht="15.75" spans="1:7">
      <c r="A44" s="181"/>
      <c r="B44" s="156"/>
      <c r="C44" s="195"/>
      <c r="D44" s="186"/>
      <c r="E44" s="156"/>
      <c r="F44" s="189"/>
      <c r="G44" s="189"/>
    </row>
    <row r="45" spans="1:7">
      <c r="A45" s="180" t="s">
        <v>63</v>
      </c>
      <c r="B45" s="180"/>
      <c r="C45" s="180"/>
      <c r="D45" s="180"/>
      <c r="E45" s="156"/>
      <c r="F45" s="156"/>
      <c r="G45" s="156"/>
    </row>
    <row r="46" spans="1:7">
      <c r="A46" s="181" t="s">
        <v>64</v>
      </c>
      <c r="B46" s="156" t="s">
        <v>65</v>
      </c>
      <c r="C46" s="181" t="s">
        <v>24</v>
      </c>
      <c r="D46" s="181" t="s">
        <v>66</v>
      </c>
      <c r="E46" s="156"/>
      <c r="F46" s="156"/>
      <c r="G46" s="156"/>
    </row>
    <row r="47" spans="1:7">
      <c r="A47" s="181" t="s">
        <v>28</v>
      </c>
      <c r="B47" s="156" t="s">
        <v>67</v>
      </c>
      <c r="C47" s="188">
        <v>0.2</v>
      </c>
      <c r="D47" s="186">
        <f t="shared" ref="D47:D54" si="0">TRUNC(($D$43*C47),2)</f>
        <v>391.77</v>
      </c>
      <c r="E47" s="156"/>
      <c r="F47" s="156"/>
      <c r="G47" s="156"/>
    </row>
    <row r="48" spans="1:7">
      <c r="A48" s="181" t="s">
        <v>31</v>
      </c>
      <c r="B48" s="156" t="s">
        <v>68</v>
      </c>
      <c r="C48" s="188">
        <v>0.025</v>
      </c>
      <c r="D48" s="186">
        <f t="shared" si="0"/>
        <v>48.97</v>
      </c>
      <c r="E48" s="156"/>
      <c r="F48" s="156"/>
      <c r="G48" s="156"/>
    </row>
    <row r="49" spans="1:7">
      <c r="A49" s="181" t="s">
        <v>34</v>
      </c>
      <c r="B49" s="156" t="s">
        <v>191</v>
      </c>
      <c r="C49" s="196">
        <v>0.06</v>
      </c>
      <c r="D49" s="183">
        <f t="shared" si="0"/>
        <v>117.53</v>
      </c>
      <c r="E49" s="156"/>
      <c r="F49" s="156"/>
      <c r="G49" s="156"/>
    </row>
    <row r="50" spans="1:7">
      <c r="A50" s="181" t="s">
        <v>36</v>
      </c>
      <c r="B50" s="156" t="s">
        <v>70</v>
      </c>
      <c r="C50" s="188">
        <v>0.015</v>
      </c>
      <c r="D50" s="186">
        <f t="shared" si="0"/>
        <v>29.38</v>
      </c>
      <c r="E50" s="156"/>
      <c r="F50" s="156"/>
      <c r="G50" s="156"/>
    </row>
    <row r="51" spans="1:7">
      <c r="A51" s="181" t="s">
        <v>39</v>
      </c>
      <c r="B51" s="156" t="s">
        <v>71</v>
      </c>
      <c r="C51" s="188">
        <v>0.01</v>
      </c>
      <c r="D51" s="186">
        <f t="shared" si="0"/>
        <v>19.58</v>
      </c>
      <c r="E51" s="156"/>
      <c r="F51" s="156"/>
      <c r="G51" s="156"/>
    </row>
    <row r="52" spans="1:7">
      <c r="A52" s="181" t="s">
        <v>41</v>
      </c>
      <c r="B52" s="156" t="s">
        <v>72</v>
      </c>
      <c r="C52" s="188">
        <v>0.006</v>
      </c>
      <c r="D52" s="186">
        <f t="shared" si="0"/>
        <v>11.75</v>
      </c>
      <c r="E52" s="156"/>
      <c r="F52" s="156"/>
      <c r="G52" s="156"/>
    </row>
    <row r="53" spans="1:7">
      <c r="A53" s="181" t="s">
        <v>73</v>
      </c>
      <c r="B53" s="156" t="s">
        <v>74</v>
      </c>
      <c r="C53" s="188">
        <v>0.002</v>
      </c>
      <c r="D53" s="186">
        <f t="shared" si="0"/>
        <v>3.91</v>
      </c>
      <c r="E53" s="156"/>
      <c r="F53" s="156"/>
      <c r="G53" s="156"/>
    </row>
    <row r="54" spans="1:7">
      <c r="A54" s="181" t="s">
        <v>75</v>
      </c>
      <c r="B54" s="156" t="s">
        <v>76</v>
      </c>
      <c r="C54" s="188">
        <v>0.08</v>
      </c>
      <c r="D54" s="186">
        <f t="shared" si="0"/>
        <v>156.71</v>
      </c>
      <c r="E54" s="156"/>
      <c r="F54" s="156"/>
      <c r="G54" s="156"/>
    </row>
    <row r="55" spans="1:7">
      <c r="A55" s="181" t="s">
        <v>44</v>
      </c>
      <c r="B55" s="156"/>
      <c r="C55" s="195">
        <f>SUM(C47:C54)</f>
        <v>0.398</v>
      </c>
      <c r="D55" s="186">
        <f>TRUNC((SUM(D47:D54)),2)</f>
        <v>779.6</v>
      </c>
      <c r="E55" s="156"/>
      <c r="F55" s="156"/>
      <c r="G55" s="156"/>
    </row>
    <row r="56" spans="1:7">
      <c r="A56" s="181"/>
      <c r="B56" s="156"/>
      <c r="C56" s="195"/>
      <c r="D56" s="186"/>
      <c r="E56" s="156"/>
      <c r="F56" s="156"/>
      <c r="G56" s="156"/>
    </row>
    <row r="57" spans="1:7">
      <c r="A57" s="180" t="s">
        <v>81</v>
      </c>
      <c r="B57" s="180"/>
      <c r="C57" s="180"/>
      <c r="D57" s="180"/>
      <c r="E57" s="156"/>
      <c r="F57" s="156"/>
      <c r="G57" s="156"/>
    </row>
    <row r="58" spans="1:7">
      <c r="A58" s="181" t="s">
        <v>82</v>
      </c>
      <c r="B58" s="156" t="s">
        <v>83</v>
      </c>
      <c r="C58" s="181" t="s">
        <v>4</v>
      </c>
      <c r="D58" s="181" t="s">
        <v>5</v>
      </c>
      <c r="E58" s="156"/>
      <c r="F58" s="156"/>
      <c r="G58" s="156"/>
    </row>
    <row r="59" spans="1:7">
      <c r="A59" s="181" t="s">
        <v>28</v>
      </c>
      <c r="B59" s="156" t="s">
        <v>84</v>
      </c>
      <c r="C59" s="182"/>
      <c r="D59" s="183">
        <v>0</v>
      </c>
      <c r="E59" s="156"/>
      <c r="F59" s="156"/>
      <c r="G59" s="156"/>
    </row>
    <row r="60" spans="1:7">
      <c r="A60" s="181" t="s">
        <v>31</v>
      </c>
      <c r="B60" s="156" t="s">
        <v>85</v>
      </c>
      <c r="C60" s="182" t="str">
        <f>C9</f>
        <v>CCT PB 000047/2021</v>
      </c>
      <c r="D60" s="183">
        <f>TRUNC((((22*18))-(((22*18))*0.2)),2)</f>
        <v>316.8</v>
      </c>
      <c r="E60" s="156"/>
      <c r="F60" s="156"/>
      <c r="G60" s="156"/>
    </row>
    <row r="61" spans="1:7">
      <c r="A61" s="181" t="s">
        <v>34</v>
      </c>
      <c r="B61" s="156" t="s">
        <v>86</v>
      </c>
      <c r="C61" s="182"/>
      <c r="D61" s="183">
        <v>0</v>
      </c>
      <c r="E61" s="156"/>
      <c r="F61" s="156"/>
      <c r="G61" s="156"/>
    </row>
    <row r="62" spans="1:7">
      <c r="A62" s="197" t="s">
        <v>36</v>
      </c>
      <c r="B62" s="198" t="s">
        <v>232</v>
      </c>
      <c r="C62" s="199"/>
      <c r="D62" s="199">
        <v>0</v>
      </c>
      <c r="E62" s="156"/>
      <c r="F62" s="198"/>
      <c r="G62" s="156"/>
    </row>
    <row r="63" spans="1:7">
      <c r="A63" s="181" t="s">
        <v>39</v>
      </c>
      <c r="B63" s="156" t="s">
        <v>193</v>
      </c>
      <c r="C63" s="182" t="str">
        <f>C9</f>
        <v>CCT PB 000047/2021</v>
      </c>
      <c r="D63" s="200">
        <v>15</v>
      </c>
      <c r="E63" s="156"/>
      <c r="F63" s="156"/>
      <c r="G63" s="156"/>
    </row>
    <row r="64" spans="1:7">
      <c r="A64" s="181" t="s">
        <v>41</v>
      </c>
      <c r="B64" s="201" t="s">
        <v>194</v>
      </c>
      <c r="C64" s="199" t="str">
        <f>C9</f>
        <v>CCT PB 000047/2021</v>
      </c>
      <c r="D64" s="200">
        <v>5</v>
      </c>
      <c r="E64" s="156"/>
      <c r="F64" s="156"/>
      <c r="G64" s="156"/>
    </row>
    <row r="65" spans="1:7">
      <c r="A65" s="181" t="s">
        <v>44</v>
      </c>
      <c r="B65" s="156"/>
      <c r="C65" s="156"/>
      <c r="D65" s="186">
        <f>TRUNC((SUM(D59:D64)),2)</f>
        <v>336.8</v>
      </c>
      <c r="E65" s="156"/>
      <c r="F65" s="156"/>
      <c r="G65" s="156"/>
    </row>
    <row r="66" spans="1:7">
      <c r="A66" s="181"/>
      <c r="B66" s="156"/>
      <c r="C66" s="156"/>
      <c r="D66" s="186"/>
      <c r="E66" s="156"/>
      <c r="F66" s="156"/>
      <c r="G66" s="156"/>
    </row>
    <row r="67" spans="1:7">
      <c r="A67" s="180" t="s">
        <v>91</v>
      </c>
      <c r="B67" s="180"/>
      <c r="C67" s="180"/>
      <c r="D67" s="180"/>
      <c r="E67" s="156"/>
      <c r="F67" s="156"/>
      <c r="G67" s="156"/>
    </row>
    <row r="68" spans="1:7">
      <c r="A68" s="181" t="s">
        <v>92</v>
      </c>
      <c r="B68" s="156" t="s">
        <v>93</v>
      </c>
      <c r="C68" s="181" t="s">
        <v>4</v>
      </c>
      <c r="D68" s="181" t="s">
        <v>5</v>
      </c>
      <c r="E68" s="156"/>
      <c r="F68" s="156"/>
      <c r="G68" s="156"/>
    </row>
    <row r="69" spans="1:7">
      <c r="A69" s="181" t="s">
        <v>51</v>
      </c>
      <c r="B69" s="156" t="s">
        <v>52</v>
      </c>
      <c r="C69" s="181"/>
      <c r="D69" s="186">
        <f>D39</f>
        <v>318.88</v>
      </c>
      <c r="E69" s="156"/>
      <c r="F69" s="156"/>
      <c r="G69" s="156"/>
    </row>
    <row r="70" spans="1:7">
      <c r="A70" s="181" t="s">
        <v>64</v>
      </c>
      <c r="B70" s="156" t="s">
        <v>65</v>
      </c>
      <c r="C70" s="181"/>
      <c r="D70" s="186">
        <f>D55</f>
        <v>779.6</v>
      </c>
      <c r="E70" s="156"/>
      <c r="F70" s="156"/>
      <c r="G70" s="156"/>
    </row>
    <row r="71" spans="1:7">
      <c r="A71" s="181" t="s">
        <v>82</v>
      </c>
      <c r="B71" s="156" t="s">
        <v>83</v>
      </c>
      <c r="C71" s="181"/>
      <c r="D71" s="186">
        <f>D65</f>
        <v>336.8</v>
      </c>
      <c r="E71" s="156"/>
      <c r="F71" s="156"/>
      <c r="G71" s="156"/>
    </row>
    <row r="72" spans="1:7">
      <c r="A72" s="181" t="s">
        <v>44</v>
      </c>
      <c r="B72" s="156"/>
      <c r="C72" s="181"/>
      <c r="D72" s="186">
        <f>TRUNC(SUM(D69:D71),2)</f>
        <v>1435.28</v>
      </c>
      <c r="E72" s="156"/>
      <c r="F72" s="156"/>
      <c r="G72" s="156"/>
    </row>
    <row r="73" spans="1:7">
      <c r="A73" s="156"/>
      <c r="B73" s="156"/>
      <c r="C73" s="156"/>
      <c r="D73" s="156"/>
      <c r="E73" s="156"/>
      <c r="F73" s="156"/>
      <c r="G73" s="156"/>
    </row>
    <row r="74" spans="1:7">
      <c r="A74" s="164" t="s">
        <v>94</v>
      </c>
      <c r="B74" s="164"/>
      <c r="C74" s="164"/>
      <c r="D74" s="164"/>
      <c r="E74" s="156"/>
      <c r="F74" s="156"/>
      <c r="G74" s="156"/>
    </row>
    <row r="75" spans="1:7">
      <c r="A75" s="181" t="s">
        <v>95</v>
      </c>
      <c r="B75" s="156" t="s">
        <v>96</v>
      </c>
      <c r="C75" s="181" t="s">
        <v>24</v>
      </c>
      <c r="D75" s="181" t="s">
        <v>5</v>
      </c>
      <c r="E75" s="156"/>
      <c r="F75" s="156"/>
      <c r="G75" s="156"/>
    </row>
    <row r="76" spans="1:7">
      <c r="A76" s="181" t="s">
        <v>28</v>
      </c>
      <c r="B76" s="156" t="s">
        <v>97</v>
      </c>
      <c r="C76" s="196">
        <f>((1/12)*5%)</f>
        <v>0.00416666666666667</v>
      </c>
      <c r="D76" s="199">
        <f t="shared" ref="D76:D79" si="1">TRUNC(($D$31*C76),2)</f>
        <v>6.83</v>
      </c>
      <c r="E76" s="156"/>
      <c r="F76" s="156"/>
      <c r="G76" s="156"/>
    </row>
    <row r="77" spans="1:7">
      <c r="A77" s="181" t="s">
        <v>31</v>
      </c>
      <c r="B77" s="156" t="s">
        <v>98</v>
      </c>
      <c r="C77" s="202">
        <v>0.08</v>
      </c>
      <c r="D77" s="203">
        <f>TRUNC(($D$76*C77),2)</f>
        <v>0.54</v>
      </c>
      <c r="E77" s="156"/>
      <c r="F77" s="156"/>
      <c r="G77" s="156"/>
    </row>
    <row r="78" spans="1:7">
      <c r="A78" s="181" t="s">
        <v>34</v>
      </c>
      <c r="B78" s="204" t="s">
        <v>99</v>
      </c>
      <c r="C78" s="205">
        <f>(0.08*0.4*0.05)</f>
        <v>0.0016</v>
      </c>
      <c r="D78" s="199">
        <f t="shared" si="1"/>
        <v>2.62</v>
      </c>
      <c r="E78" s="156"/>
      <c r="F78" s="156"/>
      <c r="G78" s="156"/>
    </row>
    <row r="79" spans="1:7">
      <c r="A79" s="181" t="s">
        <v>36</v>
      </c>
      <c r="B79" s="156" t="s">
        <v>100</v>
      </c>
      <c r="C79" s="206">
        <f>(((7/30)/12)*0.95)</f>
        <v>0.0184722222222222</v>
      </c>
      <c r="D79" s="207">
        <f t="shared" si="1"/>
        <v>30.29</v>
      </c>
      <c r="E79" s="156"/>
      <c r="F79" s="156"/>
      <c r="G79" s="156"/>
    </row>
    <row r="80" ht="30" spans="1:7">
      <c r="A80" s="181" t="s">
        <v>39</v>
      </c>
      <c r="B80" s="204" t="s">
        <v>195</v>
      </c>
      <c r="C80" s="205">
        <f>C55</f>
        <v>0.398</v>
      </c>
      <c r="D80" s="199">
        <f>TRUNC(($D$79*C80),2)</f>
        <v>12.05</v>
      </c>
      <c r="E80" s="156"/>
      <c r="F80" s="156"/>
      <c r="G80" s="156"/>
    </row>
    <row r="81" spans="1:7">
      <c r="A81" s="181" t="s">
        <v>41</v>
      </c>
      <c r="B81" s="204" t="s">
        <v>101</v>
      </c>
      <c r="C81" s="205">
        <f>(0.08*0.4*0.95)</f>
        <v>0.0304</v>
      </c>
      <c r="D81" s="199">
        <f>TRUNC(($D$31*C81),2)</f>
        <v>49.85</v>
      </c>
      <c r="E81" s="156"/>
      <c r="F81" s="156"/>
      <c r="G81" s="156"/>
    </row>
    <row r="82" spans="1:7">
      <c r="A82" s="181" t="s">
        <v>44</v>
      </c>
      <c r="B82" s="156"/>
      <c r="C82" s="202">
        <f>SUM(C76:C81)</f>
        <v>0.532638888888889</v>
      </c>
      <c r="D82" s="203">
        <f>TRUNC((SUM(D76:D81)),2)</f>
        <v>102.18</v>
      </c>
      <c r="E82" s="156"/>
      <c r="F82" s="156"/>
      <c r="G82" s="156"/>
    </row>
    <row r="83" ht="15.75" spans="1:7">
      <c r="A83" s="181"/>
      <c r="B83" s="156"/>
      <c r="C83" s="156"/>
      <c r="D83" s="186"/>
      <c r="E83" s="156"/>
      <c r="F83" s="156"/>
      <c r="G83" s="156"/>
    </row>
    <row r="84" ht="16.5" spans="1:7">
      <c r="A84" s="190" t="s">
        <v>196</v>
      </c>
      <c r="B84" s="190"/>
      <c r="C84" s="191" t="s">
        <v>188</v>
      </c>
      <c r="D84" s="192">
        <f>D31</f>
        <v>1640</v>
      </c>
      <c r="E84" s="156"/>
      <c r="F84" s="156"/>
      <c r="G84" s="156"/>
    </row>
    <row r="85" ht="16.5" spans="1:7">
      <c r="A85" s="190"/>
      <c r="B85" s="190"/>
      <c r="C85" s="193" t="s">
        <v>197</v>
      </c>
      <c r="D85" s="192">
        <f>D72</f>
        <v>1435.28</v>
      </c>
      <c r="E85" s="156"/>
      <c r="F85" s="156"/>
      <c r="G85" s="156"/>
    </row>
    <row r="86" ht="16.5" spans="1:7">
      <c r="A86" s="190"/>
      <c r="B86" s="190"/>
      <c r="C86" s="191" t="s">
        <v>198</v>
      </c>
      <c r="D86" s="192">
        <f>D82</f>
        <v>102.18</v>
      </c>
      <c r="E86" s="156"/>
      <c r="F86" s="156"/>
      <c r="G86" s="156"/>
    </row>
    <row r="87" ht="16.5" spans="1:7">
      <c r="A87" s="190"/>
      <c r="B87" s="190"/>
      <c r="C87" s="193" t="s">
        <v>190</v>
      </c>
      <c r="D87" s="194">
        <f>TRUNC((SUM(D84:D86)),2)</f>
        <v>3177.46</v>
      </c>
      <c r="E87" s="156"/>
      <c r="F87" s="156"/>
      <c r="G87" s="156"/>
    </row>
    <row r="88" ht="15.75" spans="1:7">
      <c r="A88" s="181"/>
      <c r="B88" s="156"/>
      <c r="C88" s="156"/>
      <c r="D88" s="186"/>
      <c r="E88" s="156"/>
      <c r="F88" s="156"/>
      <c r="G88" s="156"/>
    </row>
    <row r="89" spans="1:7">
      <c r="A89" s="208" t="s">
        <v>113</v>
      </c>
      <c r="B89" s="208"/>
      <c r="C89" s="208"/>
      <c r="D89" s="208"/>
      <c r="E89" s="156"/>
      <c r="F89" s="156"/>
      <c r="G89" s="156"/>
    </row>
    <row r="90" spans="1:7">
      <c r="A90" s="180" t="s">
        <v>114</v>
      </c>
      <c r="B90" s="180"/>
      <c r="C90" s="180"/>
      <c r="D90" s="180"/>
      <c r="E90" s="156"/>
      <c r="F90" s="156"/>
      <c r="G90" s="156"/>
    </row>
    <row r="91" spans="1:7">
      <c r="A91" s="181" t="s">
        <v>115</v>
      </c>
      <c r="B91" s="156" t="s">
        <v>116</v>
      </c>
      <c r="C91" s="181" t="s">
        <v>24</v>
      </c>
      <c r="D91" s="181" t="s">
        <v>5</v>
      </c>
      <c r="E91" s="156"/>
      <c r="F91" s="156"/>
      <c r="G91" s="156"/>
    </row>
    <row r="92" spans="1:7">
      <c r="A92" s="181" t="s">
        <v>28</v>
      </c>
      <c r="B92" s="156" t="s">
        <v>199</v>
      </c>
      <c r="C92" s="202">
        <f>(((1+1/3)/12)/12)+((1/12)/12)</f>
        <v>0.0162037037037037</v>
      </c>
      <c r="D92" s="186">
        <f t="shared" ref="D92:D96" si="2">TRUNC(($D$87*C92),2)</f>
        <v>51.48</v>
      </c>
      <c r="E92" s="156"/>
      <c r="F92" s="156"/>
      <c r="G92" s="156"/>
    </row>
    <row r="93" spans="1:7">
      <c r="A93" s="181" t="s">
        <v>31</v>
      </c>
      <c r="B93" s="156" t="s">
        <v>119</v>
      </c>
      <c r="C93" s="196">
        <f>((2/30)/12)</f>
        <v>0.00555555555555556</v>
      </c>
      <c r="D93" s="199">
        <f t="shared" si="2"/>
        <v>17.65</v>
      </c>
      <c r="E93" s="156"/>
      <c r="F93" s="156"/>
      <c r="G93" s="156"/>
    </row>
    <row r="94" spans="1:7">
      <c r="A94" s="181" t="s">
        <v>34</v>
      </c>
      <c r="B94" s="156" t="s">
        <v>120</v>
      </c>
      <c r="C94" s="196">
        <f>((5/30)/12)*0.02</f>
        <v>0.000277777777777778</v>
      </c>
      <c r="D94" s="199">
        <f t="shared" si="2"/>
        <v>0.88</v>
      </c>
      <c r="E94" s="156"/>
      <c r="F94" s="156"/>
      <c r="G94" s="156"/>
    </row>
    <row r="95" spans="1:7">
      <c r="A95" s="197" t="s">
        <v>36</v>
      </c>
      <c r="B95" s="204" t="s">
        <v>121</v>
      </c>
      <c r="C95" s="205">
        <f>((15/30)/12)*0.08</f>
        <v>0.00333333333333333</v>
      </c>
      <c r="D95" s="199">
        <f t="shared" si="2"/>
        <v>10.59</v>
      </c>
      <c r="E95" s="156"/>
      <c r="F95" s="156"/>
      <c r="G95" s="156"/>
    </row>
    <row r="96" spans="1:7">
      <c r="A96" s="181" t="s">
        <v>39</v>
      </c>
      <c r="B96" s="156" t="s">
        <v>122</v>
      </c>
      <c r="C96" s="196">
        <f>((1+1/3)/12)*0.03*((4/12))</f>
        <v>0.00111111111111111</v>
      </c>
      <c r="D96" s="199">
        <f t="shared" si="2"/>
        <v>3.53</v>
      </c>
      <c r="E96" s="156"/>
      <c r="F96" s="156"/>
      <c r="G96" s="156"/>
    </row>
    <row r="97" spans="1:7">
      <c r="A97" s="181" t="s">
        <v>41</v>
      </c>
      <c r="B97" s="204" t="s">
        <v>200</v>
      </c>
      <c r="C97" s="209">
        <v>0</v>
      </c>
      <c r="D97" s="199">
        <f>TRUNC($D$87*C97)</f>
        <v>0</v>
      </c>
      <c r="E97" s="156"/>
      <c r="F97" s="156"/>
      <c r="G97" s="156"/>
    </row>
    <row r="98" spans="1:7">
      <c r="A98" s="181" t="s">
        <v>44</v>
      </c>
      <c r="B98" s="156"/>
      <c r="C98" s="202">
        <f>SUM(C92:C97)</f>
        <v>0.0264814814814815</v>
      </c>
      <c r="D98" s="186">
        <f>TRUNC((SUM(D92:D97)),2)</f>
        <v>84.13</v>
      </c>
      <c r="E98" s="156"/>
      <c r="F98" s="156"/>
      <c r="G98" s="156"/>
    </row>
    <row r="99" spans="1:7">
      <c r="A99" s="181"/>
      <c r="B99" s="156"/>
      <c r="C99" s="181"/>
      <c r="D99" s="186"/>
      <c r="E99" s="156"/>
      <c r="F99" s="156"/>
      <c r="G99" s="156"/>
    </row>
    <row r="100" spans="1:7">
      <c r="A100" s="180" t="s">
        <v>130</v>
      </c>
      <c r="B100" s="180"/>
      <c r="C100" s="180"/>
      <c r="D100" s="180"/>
      <c r="E100" s="156"/>
      <c r="F100" s="156"/>
      <c r="G100" s="156"/>
    </row>
    <row r="101" spans="1:7">
      <c r="A101" s="181" t="s">
        <v>131</v>
      </c>
      <c r="B101" s="156" t="s">
        <v>132</v>
      </c>
      <c r="C101" s="181" t="s">
        <v>4</v>
      </c>
      <c r="D101" s="181" t="s">
        <v>5</v>
      </c>
      <c r="E101" s="156"/>
      <c r="F101" s="156"/>
      <c r="G101" s="156"/>
    </row>
    <row r="102" ht="90" spans="1:7">
      <c r="A102" s="197" t="s">
        <v>28</v>
      </c>
      <c r="B102" s="210" t="s">
        <v>133</v>
      </c>
      <c r="C102" s="211" t="s">
        <v>201</v>
      </c>
      <c r="D102" s="212" t="s">
        <v>202</v>
      </c>
      <c r="E102" s="156"/>
      <c r="F102" s="156"/>
      <c r="G102" s="156"/>
    </row>
    <row r="103" spans="1:7">
      <c r="A103" s="181" t="s">
        <v>44</v>
      </c>
      <c r="B103" s="156"/>
      <c r="C103" s="181"/>
      <c r="D103" s="213" t="str">
        <f>D102</f>
        <v>*=TRUNCAR(($D$86/220)*(1*(365/12))/2)</v>
      </c>
      <c r="E103" s="156"/>
      <c r="F103" s="156"/>
      <c r="G103" s="156"/>
    </row>
    <row r="104" spans="1:7">
      <c r="A104" s="156"/>
      <c r="B104" s="156"/>
      <c r="C104" s="156"/>
      <c r="D104" s="156"/>
      <c r="E104" s="156"/>
      <c r="F104" s="156"/>
      <c r="G104" s="156"/>
    </row>
    <row r="105" spans="1:7">
      <c r="A105" s="180" t="s">
        <v>134</v>
      </c>
      <c r="B105" s="180"/>
      <c r="C105" s="180"/>
      <c r="D105" s="180"/>
      <c r="E105" s="156"/>
      <c r="F105" s="156"/>
      <c r="G105" s="156"/>
    </row>
    <row r="106" spans="1:7">
      <c r="A106" s="181" t="s">
        <v>135</v>
      </c>
      <c r="B106" s="156" t="s">
        <v>136</v>
      </c>
      <c r="C106" s="181" t="s">
        <v>4</v>
      </c>
      <c r="D106" s="181" t="s">
        <v>5</v>
      </c>
      <c r="E106" s="156"/>
      <c r="F106" s="156"/>
      <c r="G106" s="156"/>
    </row>
    <row r="107" spans="1:7">
      <c r="A107" s="181" t="s">
        <v>115</v>
      </c>
      <c r="B107" s="156" t="s">
        <v>116</v>
      </c>
      <c r="C107" s="156"/>
      <c r="D107" s="183">
        <f>D98</f>
        <v>84.13</v>
      </c>
      <c r="E107" s="156"/>
      <c r="F107" s="156"/>
      <c r="G107" s="156"/>
    </row>
    <row r="108" spans="1:7">
      <c r="A108" s="181" t="s">
        <v>131</v>
      </c>
      <c r="B108" s="156" t="s">
        <v>137</v>
      </c>
      <c r="C108" s="156"/>
      <c r="D108" s="214" t="str">
        <f>Submódulo4.260_8120102[[#Totals],[Valor]]</f>
        <v>*=TRUNCAR(($D$86/220)*(1*(365/12))/2)</v>
      </c>
      <c r="E108" s="156"/>
      <c r="F108" s="156"/>
      <c r="G108" s="156"/>
    </row>
    <row r="109" ht="60" spans="1:7">
      <c r="A109" s="197" t="s">
        <v>44</v>
      </c>
      <c r="B109" s="198"/>
      <c r="C109" s="211" t="s">
        <v>203</v>
      </c>
      <c r="D109" s="203">
        <f>TRUNC((SUM(D107:D108)),2)</f>
        <v>84.13</v>
      </c>
      <c r="E109" s="156"/>
      <c r="F109" s="156"/>
      <c r="G109" s="156"/>
    </row>
    <row r="110" spans="1:7">
      <c r="A110" s="156"/>
      <c r="B110" s="156"/>
      <c r="C110" s="156"/>
      <c r="D110" s="156"/>
      <c r="E110" s="156"/>
      <c r="F110" s="156"/>
      <c r="G110" s="156"/>
    </row>
    <row r="111" spans="1:7">
      <c r="A111" s="164" t="s">
        <v>138</v>
      </c>
      <c r="B111" s="164"/>
      <c r="C111" s="164"/>
      <c r="D111" s="164"/>
      <c r="E111" s="156"/>
      <c r="F111" s="156"/>
      <c r="G111" s="156"/>
    </row>
    <row r="112" spans="1:7">
      <c r="A112" s="181" t="s">
        <v>139</v>
      </c>
      <c r="B112" s="156" t="s">
        <v>140</v>
      </c>
      <c r="C112" s="181" t="s">
        <v>4</v>
      </c>
      <c r="D112" s="181" t="s">
        <v>5</v>
      </c>
      <c r="E112" s="156"/>
      <c r="F112" s="156"/>
      <c r="G112" s="156"/>
    </row>
    <row r="113" spans="1:7">
      <c r="A113" s="181" t="s">
        <v>28</v>
      </c>
      <c r="B113" s="156" t="s">
        <v>204</v>
      </c>
      <c r="C113" s="156"/>
      <c r="D113" s="183">
        <f>Uniformes!G81</f>
        <v>100.5</v>
      </c>
      <c r="E113" s="156"/>
      <c r="F113" s="156"/>
      <c r="G113" s="156"/>
    </row>
    <row r="114" spans="1:7">
      <c r="A114" s="181" t="s">
        <v>31</v>
      </c>
      <c r="B114" s="156" t="s">
        <v>205</v>
      </c>
      <c r="C114" s="156"/>
      <c r="D114" s="183">
        <f>EPC!E21</f>
        <v>17.95</v>
      </c>
      <c r="E114" s="156"/>
      <c r="F114" s="156"/>
      <c r="G114" s="156"/>
    </row>
    <row r="115" spans="1:7">
      <c r="A115" s="181" t="s">
        <v>34</v>
      </c>
      <c r="B115" s="156" t="s">
        <v>142</v>
      </c>
      <c r="C115" s="156"/>
      <c r="D115" s="183">
        <f>'Materiais e Equipamentos'!E85</f>
        <v>304.07</v>
      </c>
      <c r="E115" s="156"/>
      <c r="F115" s="156"/>
      <c r="G115" s="156"/>
    </row>
    <row r="116" spans="1:7">
      <c r="A116" s="181" t="s">
        <v>36</v>
      </c>
      <c r="B116" s="156" t="s">
        <v>143</v>
      </c>
      <c r="C116" s="156"/>
      <c r="D116" s="183">
        <f>'Materiais e Equipamentos'!F116</f>
        <v>74.32</v>
      </c>
      <c r="E116" s="156"/>
      <c r="F116" s="156"/>
      <c r="G116" s="156"/>
    </row>
    <row r="117" spans="1:7">
      <c r="A117" s="181" t="s">
        <v>39</v>
      </c>
      <c r="B117" s="156" t="s">
        <v>42</v>
      </c>
      <c r="C117" s="156"/>
      <c r="D117" s="183">
        <f>H116</f>
        <v>0</v>
      </c>
      <c r="E117" s="156"/>
      <c r="F117" s="156"/>
      <c r="G117" s="156"/>
    </row>
    <row r="118" spans="1:7">
      <c r="A118" s="181" t="s">
        <v>44</v>
      </c>
      <c r="B118" s="156"/>
      <c r="C118" s="156"/>
      <c r="D118" s="186">
        <f>TRUNC(SUM((D113:D117)),2)</f>
        <v>496.84</v>
      </c>
      <c r="E118" s="156"/>
      <c r="F118" s="156"/>
      <c r="G118" s="156"/>
    </row>
    <row r="119" spans="1:7">
      <c r="A119" s="156"/>
      <c r="B119" s="156"/>
      <c r="C119" s="156"/>
      <c r="D119" s="156"/>
      <c r="E119" s="156"/>
      <c r="F119" s="156"/>
      <c r="G119" s="156"/>
    </row>
    <row r="120" ht="16.5" spans="1:7">
      <c r="A120" s="190" t="s">
        <v>207</v>
      </c>
      <c r="B120" s="190"/>
      <c r="C120" s="191" t="s">
        <v>188</v>
      </c>
      <c r="D120" s="192">
        <f>D31</f>
        <v>1640</v>
      </c>
      <c r="E120" s="156"/>
      <c r="F120" s="156"/>
      <c r="G120" s="156"/>
    </row>
    <row r="121" ht="16.5" spans="1:7">
      <c r="A121" s="190"/>
      <c r="B121" s="190"/>
      <c r="C121" s="193" t="s">
        <v>197</v>
      </c>
      <c r="D121" s="192">
        <f>D72</f>
        <v>1435.28</v>
      </c>
      <c r="E121" s="156"/>
      <c r="F121" s="156"/>
      <c r="G121" s="156"/>
    </row>
    <row r="122" ht="16.5" spans="1:7">
      <c r="A122" s="190"/>
      <c r="B122" s="190"/>
      <c r="C122" s="191" t="s">
        <v>198</v>
      </c>
      <c r="D122" s="192">
        <f>D82</f>
        <v>102.18</v>
      </c>
      <c r="E122" s="156"/>
      <c r="F122" s="156"/>
      <c r="G122" s="156"/>
    </row>
    <row r="123" ht="16.5" spans="1:7">
      <c r="A123" s="190"/>
      <c r="B123" s="190"/>
      <c r="C123" s="193" t="s">
        <v>208</v>
      </c>
      <c r="D123" s="192">
        <f>D109</f>
        <v>84.13</v>
      </c>
      <c r="E123" s="156"/>
      <c r="F123" s="156"/>
      <c r="G123" s="156"/>
    </row>
    <row r="124" ht="16.5" spans="1:7">
      <c r="A124" s="190"/>
      <c r="B124" s="190"/>
      <c r="C124" s="191" t="s">
        <v>209</v>
      </c>
      <c r="D124" s="192">
        <f>D118</f>
        <v>496.84</v>
      </c>
      <c r="E124" s="156"/>
      <c r="F124" s="156"/>
      <c r="G124" s="156"/>
    </row>
    <row r="125" ht="16.5" spans="1:7">
      <c r="A125" s="190"/>
      <c r="B125" s="190"/>
      <c r="C125" s="193" t="s">
        <v>190</v>
      </c>
      <c r="D125" s="194">
        <f>TRUNC((SUM(D120:D124)),2)</f>
        <v>3758.43</v>
      </c>
      <c r="E125" s="156"/>
      <c r="F125" s="156"/>
      <c r="G125" s="156"/>
    </row>
    <row r="126" ht="15.75" spans="1:7">
      <c r="A126" s="156"/>
      <c r="B126" s="156"/>
      <c r="C126" s="156"/>
      <c r="D126" s="156"/>
      <c r="E126" s="156"/>
      <c r="F126" s="156"/>
      <c r="G126" s="156"/>
    </row>
    <row r="127" spans="1:7">
      <c r="A127" s="164" t="s">
        <v>150</v>
      </c>
      <c r="B127" s="164"/>
      <c r="C127" s="164"/>
      <c r="D127" s="164"/>
      <c r="E127" s="156"/>
      <c r="F127" s="156"/>
      <c r="G127" s="156"/>
    </row>
    <row r="128" spans="1:7">
      <c r="A128" s="181" t="s">
        <v>151</v>
      </c>
      <c r="B128" s="156" t="s">
        <v>152</v>
      </c>
      <c r="C128" s="181" t="s">
        <v>24</v>
      </c>
      <c r="D128" s="181" t="s">
        <v>5</v>
      </c>
      <c r="E128" s="156"/>
      <c r="F128" s="215" t="s">
        <v>210</v>
      </c>
      <c r="G128" s="215"/>
    </row>
    <row r="129" ht="15.75" spans="1:7">
      <c r="A129" s="181" t="s">
        <v>28</v>
      </c>
      <c r="B129" s="156" t="s">
        <v>153</v>
      </c>
      <c r="C129" s="196">
        <v>0.044</v>
      </c>
      <c r="D129" s="183">
        <f>TRUNC(($D$125*C129),2)</f>
        <v>165.37</v>
      </c>
      <c r="E129" s="156"/>
      <c r="F129" s="216" t="s">
        <v>211</v>
      </c>
      <c r="G129" s="205">
        <f>C131</f>
        <v>0.0865</v>
      </c>
    </row>
    <row r="130" ht="15.75" spans="1:7">
      <c r="A130" s="181" t="s">
        <v>31</v>
      </c>
      <c r="B130" s="156" t="s">
        <v>45</v>
      </c>
      <c r="C130" s="196">
        <v>0.0413</v>
      </c>
      <c r="D130" s="183">
        <f>TRUNC((C130*(D125+D129)),2)</f>
        <v>162.05</v>
      </c>
      <c r="E130" s="156"/>
      <c r="F130" s="217" t="s">
        <v>212</v>
      </c>
      <c r="G130" s="218">
        <f>TRUNC(SUM(D125,D129,D130),2)</f>
        <v>4085.85</v>
      </c>
    </row>
    <row r="131" spans="1:7">
      <c r="A131" s="181" t="s">
        <v>34</v>
      </c>
      <c r="B131" s="156" t="s">
        <v>154</v>
      </c>
      <c r="C131" s="196">
        <f>SUM(C132:C134)</f>
        <v>0.0865</v>
      </c>
      <c r="D131" s="183">
        <f>TRUNC((SUM(D132:D134)),2)</f>
        <v>386.88</v>
      </c>
      <c r="E131" s="156"/>
      <c r="F131" s="216" t="s">
        <v>213</v>
      </c>
      <c r="G131" s="219">
        <f>(100-8.65)/100</f>
        <v>0.9135</v>
      </c>
    </row>
    <row r="132" ht="15.75" spans="1:7">
      <c r="A132" s="181"/>
      <c r="B132" s="156" t="s">
        <v>214</v>
      </c>
      <c r="C132" s="196">
        <v>0.0065</v>
      </c>
      <c r="D132" s="183">
        <f t="shared" ref="D132:D134" si="3">TRUNC(($G$132*C132),2)</f>
        <v>29.07</v>
      </c>
      <c r="E132" s="156"/>
      <c r="F132" s="217" t="s">
        <v>210</v>
      </c>
      <c r="G132" s="218">
        <f>TRUNC((G130/G131),2)</f>
        <v>4472.74</v>
      </c>
    </row>
    <row r="133" ht="15.75" spans="1:7">
      <c r="A133" s="181"/>
      <c r="B133" s="156" t="s">
        <v>215</v>
      </c>
      <c r="C133" s="196">
        <v>0.03</v>
      </c>
      <c r="D133" s="183">
        <f t="shared" si="3"/>
        <v>134.18</v>
      </c>
      <c r="E133" s="156"/>
      <c r="F133" s="156"/>
      <c r="G133" s="156"/>
    </row>
    <row r="134" spans="1:7">
      <c r="A134" s="181"/>
      <c r="B134" s="156" t="s">
        <v>216</v>
      </c>
      <c r="C134" s="196">
        <v>0.05</v>
      </c>
      <c r="D134" s="183">
        <f t="shared" si="3"/>
        <v>223.63</v>
      </c>
      <c r="E134" s="156"/>
      <c r="F134" s="156"/>
      <c r="G134" s="156"/>
    </row>
    <row r="135" spans="1:7">
      <c r="A135" s="181" t="s">
        <v>44</v>
      </c>
      <c r="B135" s="156"/>
      <c r="C135" s="181"/>
      <c r="D135" s="186">
        <f>TRUNC(SUM(D129:D131),2)</f>
        <v>714.3</v>
      </c>
      <c r="E135" s="156"/>
      <c r="F135" s="156"/>
      <c r="G135" s="156"/>
    </row>
    <row r="136" spans="1:7">
      <c r="A136" s="181"/>
      <c r="B136" s="156"/>
      <c r="C136" s="181"/>
      <c r="D136" s="186"/>
      <c r="E136" s="156"/>
      <c r="F136" s="156"/>
      <c r="G136" s="156"/>
    </row>
    <row r="137" spans="1:7">
      <c r="A137" s="156"/>
      <c r="B137" s="156"/>
      <c r="C137" s="156"/>
      <c r="D137" s="156"/>
      <c r="E137" s="156"/>
      <c r="F137" s="156"/>
      <c r="G137" s="156"/>
    </row>
    <row r="138" spans="1:7">
      <c r="A138" s="164" t="s">
        <v>158</v>
      </c>
      <c r="B138" s="164"/>
      <c r="C138" s="164"/>
      <c r="D138" s="164"/>
      <c r="E138" s="156"/>
      <c r="F138" s="156"/>
      <c r="G138" s="156"/>
    </row>
    <row r="139" spans="1:7">
      <c r="A139" s="181" t="s">
        <v>2</v>
      </c>
      <c r="B139" s="181" t="s">
        <v>159</v>
      </c>
      <c r="C139" s="181" t="s">
        <v>88</v>
      </c>
      <c r="D139" s="181" t="s">
        <v>5</v>
      </c>
      <c r="E139" s="156"/>
      <c r="F139" s="156"/>
      <c r="G139" s="156"/>
    </row>
    <row r="140" spans="1:7">
      <c r="A140" s="181" t="s">
        <v>28</v>
      </c>
      <c r="B140" s="156" t="s">
        <v>22</v>
      </c>
      <c r="C140" s="156"/>
      <c r="D140" s="186">
        <f>D31</f>
        <v>1640</v>
      </c>
      <c r="E140" s="156"/>
      <c r="F140" s="156"/>
      <c r="G140" s="156"/>
    </row>
    <row r="141" spans="1:7">
      <c r="A141" s="181" t="s">
        <v>31</v>
      </c>
      <c r="B141" s="156" t="s">
        <v>47</v>
      </c>
      <c r="C141" s="156"/>
      <c r="D141" s="186">
        <f>D72</f>
        <v>1435.28</v>
      </c>
      <c r="E141" s="156"/>
      <c r="F141" s="156"/>
      <c r="G141" s="156"/>
    </row>
    <row r="142" spans="1:7">
      <c r="A142" s="181" t="s">
        <v>34</v>
      </c>
      <c r="B142" s="156" t="s">
        <v>94</v>
      </c>
      <c r="C142" s="156"/>
      <c r="D142" s="186">
        <f>D82</f>
        <v>102.18</v>
      </c>
      <c r="E142" s="156"/>
      <c r="F142" s="156"/>
      <c r="G142" s="156"/>
    </row>
    <row r="143" spans="1:7">
      <c r="A143" s="181" t="s">
        <v>36</v>
      </c>
      <c r="B143" s="156" t="s">
        <v>160</v>
      </c>
      <c r="C143" s="156"/>
      <c r="D143" s="186">
        <f>D109</f>
        <v>84.13</v>
      </c>
      <c r="E143" s="156"/>
      <c r="F143" s="156"/>
      <c r="G143" s="156"/>
    </row>
    <row r="144" spans="1:7">
      <c r="A144" s="181" t="s">
        <v>39</v>
      </c>
      <c r="B144" s="156" t="s">
        <v>138</v>
      </c>
      <c r="C144" s="156"/>
      <c r="D144" s="186">
        <f>D118</f>
        <v>496.84</v>
      </c>
      <c r="E144" s="156"/>
      <c r="F144" s="156"/>
      <c r="G144" s="156"/>
    </row>
    <row r="145" spans="1:7">
      <c r="A145" s="156"/>
      <c r="B145" s="220" t="s">
        <v>161</v>
      </c>
      <c r="C145" s="156"/>
      <c r="D145" s="186">
        <f>TRUNC(SUM(D140:D144),2)</f>
        <v>3758.43</v>
      </c>
      <c r="E145" s="156"/>
      <c r="F145" s="156"/>
      <c r="G145" s="156"/>
    </row>
    <row r="146" spans="1:7">
      <c r="A146" s="181" t="s">
        <v>41</v>
      </c>
      <c r="B146" s="156" t="s">
        <v>150</v>
      </c>
      <c r="C146" s="156"/>
      <c r="D146" s="186">
        <f>D135</f>
        <v>714.3</v>
      </c>
      <c r="E146" s="156"/>
      <c r="F146" s="156"/>
      <c r="G146" s="156"/>
    </row>
    <row r="147" spans="1:7">
      <c r="A147" s="221"/>
      <c r="B147" s="222" t="s">
        <v>217</v>
      </c>
      <c r="C147" s="221"/>
      <c r="D147" s="223">
        <f>TRUNC((SUM(D140:D144)+D146),2)</f>
        <v>4472.73</v>
      </c>
      <c r="E147" s="156"/>
      <c r="F147" s="156"/>
      <c r="G147" s="156"/>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2"/>
  <sheetViews>
    <sheetView workbookViewId="0">
      <selection activeCell="B1" sqref="B1:E26"/>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8" t="s">
        <v>236</v>
      </c>
      <c r="C1" s="99"/>
      <c r="D1" s="99"/>
      <c r="E1" s="100"/>
      <c r="F1" s="8"/>
      <c r="G1" s="8"/>
      <c r="H1" s="8"/>
      <c r="I1" s="8"/>
      <c r="J1" s="8"/>
    </row>
    <row r="2" ht="33" spans="2:10">
      <c r="B2" s="101" t="s">
        <v>237</v>
      </c>
      <c r="C2" s="102" t="s">
        <v>238</v>
      </c>
      <c r="D2" s="103" t="s">
        <v>239</v>
      </c>
      <c r="E2" s="104"/>
      <c r="F2" s="8"/>
      <c r="G2" s="8"/>
      <c r="H2" s="8"/>
      <c r="I2" s="8"/>
      <c r="J2" s="8"/>
    </row>
    <row r="3" ht="17.25" spans="2:10">
      <c r="B3" s="105" t="s">
        <v>240</v>
      </c>
      <c r="C3" s="106" t="s">
        <v>241</v>
      </c>
      <c r="D3" s="107" t="s">
        <v>242</v>
      </c>
      <c r="E3" s="108"/>
      <c r="F3" s="8"/>
      <c r="G3" s="8"/>
      <c r="H3" s="8"/>
      <c r="I3" s="8"/>
      <c r="J3" s="8"/>
    </row>
    <row r="4" ht="17.25" spans="2:10">
      <c r="B4" s="109">
        <f>RESUMO!D8</f>
        <v>83</v>
      </c>
      <c r="C4" s="110">
        <f>E19</f>
        <v>190.08</v>
      </c>
      <c r="D4" s="111">
        <f>TRUNC((B4*C4),2)</f>
        <v>15776.64</v>
      </c>
      <c r="E4" s="112"/>
      <c r="F4" s="8"/>
      <c r="G4" s="8"/>
      <c r="H4" s="113"/>
      <c r="I4" s="113"/>
      <c r="J4" s="113"/>
    </row>
    <row r="5" ht="17.25" spans="2:10">
      <c r="B5" s="114"/>
      <c r="C5" s="115"/>
      <c r="D5" s="115"/>
      <c r="E5" s="116"/>
      <c r="F5" s="8"/>
      <c r="G5" s="8"/>
      <c r="H5" s="113"/>
      <c r="I5" s="148" t="s">
        <v>210</v>
      </c>
      <c r="J5" s="149"/>
    </row>
    <row r="6" ht="17.25" spans="2:10">
      <c r="B6" s="114"/>
      <c r="C6" s="115"/>
      <c r="D6" s="115"/>
      <c r="E6" s="116"/>
      <c r="F6" s="8"/>
      <c r="G6" s="8"/>
      <c r="H6" s="113"/>
      <c r="I6" s="150" t="s">
        <v>211</v>
      </c>
      <c r="J6" s="151">
        <f>D18</f>
        <v>0.0865</v>
      </c>
    </row>
    <row r="7" ht="16.5" spans="2:10">
      <c r="B7" s="98" t="s">
        <v>243</v>
      </c>
      <c r="C7" s="99"/>
      <c r="D7" s="99"/>
      <c r="E7" s="100"/>
      <c r="F7" s="8"/>
      <c r="G7" s="8"/>
      <c r="H7" s="113"/>
      <c r="I7" s="152" t="s">
        <v>244</v>
      </c>
      <c r="J7" s="153">
        <f>E13</f>
        <v>173.64</v>
      </c>
    </row>
    <row r="8" ht="17.25" spans="2:10">
      <c r="B8" s="102" t="s">
        <v>245</v>
      </c>
      <c r="C8" s="102"/>
      <c r="D8" s="102"/>
      <c r="E8" s="117">
        <v>160</v>
      </c>
      <c r="F8" s="8"/>
      <c r="G8" s="8"/>
      <c r="H8" s="113"/>
      <c r="I8" s="150" t="s">
        <v>246</v>
      </c>
      <c r="J8" s="154">
        <f>(1-J6)</f>
        <v>0.9135</v>
      </c>
    </row>
    <row r="9" ht="16.5" spans="2:10">
      <c r="B9" s="118" t="s">
        <v>247</v>
      </c>
      <c r="C9" s="119"/>
      <c r="D9" s="120" t="s">
        <v>248</v>
      </c>
      <c r="E9" s="121" t="s">
        <v>249</v>
      </c>
      <c r="F9" s="8"/>
      <c r="G9" s="8"/>
      <c r="H9" s="113"/>
      <c r="I9" s="155"/>
      <c r="J9" s="155"/>
    </row>
    <row r="10" ht="15.75" spans="2:10">
      <c r="B10" s="122" t="s">
        <v>250</v>
      </c>
      <c r="C10" s="123"/>
      <c r="D10" s="124">
        <f>'Motorista Interestadual'!C129</f>
        <v>0.044</v>
      </c>
      <c r="E10" s="125">
        <f>TRUNC((E8*D10),2)</f>
        <v>7.04</v>
      </c>
      <c r="F10" s="8"/>
      <c r="G10" s="8"/>
      <c r="H10" s="113"/>
      <c r="I10" s="155"/>
      <c r="J10" s="155"/>
    </row>
    <row r="11" ht="16.5" spans="2:10">
      <c r="B11" s="126" t="s">
        <v>251</v>
      </c>
      <c r="C11" s="127"/>
      <c r="D11" s="124">
        <f>'Motorista Interestadual'!C130</f>
        <v>0.0413</v>
      </c>
      <c r="E11" s="125">
        <f>TRUNC((E8*D11),2)</f>
        <v>6.6</v>
      </c>
      <c r="F11" s="8"/>
      <c r="G11" s="8"/>
      <c r="H11" s="113"/>
      <c r="I11" s="113"/>
      <c r="J11" s="113"/>
    </row>
    <row r="12" ht="17.25" spans="2:10">
      <c r="B12" s="128" t="s">
        <v>252</v>
      </c>
      <c r="C12" s="103"/>
      <c r="D12" s="104"/>
      <c r="E12" s="129">
        <f>TRUNC((SUM(E10:E11)),2)</f>
        <v>13.64</v>
      </c>
      <c r="F12" s="8"/>
      <c r="G12" s="8"/>
      <c r="H12" s="113"/>
      <c r="I12" s="113"/>
      <c r="J12" s="113"/>
    </row>
    <row r="13" ht="17.25" spans="2:10">
      <c r="B13" s="130" t="s">
        <v>190</v>
      </c>
      <c r="C13" s="131"/>
      <c r="D13" s="132"/>
      <c r="E13" s="129">
        <f>TRUNC((E8+E12),2)</f>
        <v>173.64</v>
      </c>
      <c r="F13" s="8"/>
      <c r="G13" s="8"/>
      <c r="H13" s="113"/>
      <c r="I13" s="113"/>
      <c r="J13" s="113"/>
    </row>
    <row r="14" ht="16.5" spans="2:10">
      <c r="B14" s="133" t="s">
        <v>253</v>
      </c>
      <c r="C14" s="134"/>
      <c r="D14" s="135" t="s">
        <v>248</v>
      </c>
      <c r="E14" s="136" t="s">
        <v>254</v>
      </c>
      <c r="F14" s="8"/>
      <c r="G14" s="8"/>
      <c r="H14" s="8"/>
      <c r="I14" s="8"/>
      <c r="J14" s="8"/>
    </row>
    <row r="15" ht="15.75" spans="2:10">
      <c r="B15" s="122" t="s">
        <v>50</v>
      </c>
      <c r="C15" s="123"/>
      <c r="D15" s="124">
        <f>'Motorista Interestadual'!C132</f>
        <v>0.0065</v>
      </c>
      <c r="E15" s="125">
        <f>(J7/J8)*(D15)</f>
        <v>1.23553366174056</v>
      </c>
      <c r="F15" s="8"/>
      <c r="G15" s="8"/>
      <c r="H15" s="8"/>
      <c r="I15" s="8"/>
      <c r="J15" s="8"/>
    </row>
    <row r="16" ht="15.75" spans="2:10">
      <c r="B16" s="126" t="s">
        <v>48</v>
      </c>
      <c r="C16" s="127"/>
      <c r="D16" s="124">
        <f>'Motorista Interestadual'!C133</f>
        <v>0.03</v>
      </c>
      <c r="E16" s="125">
        <f>(J7/J8)*(D16)</f>
        <v>5.70246305418719</v>
      </c>
      <c r="F16" s="8"/>
      <c r="G16" s="8"/>
      <c r="H16" s="8"/>
      <c r="I16" s="8"/>
      <c r="J16" s="8"/>
    </row>
    <row r="17" ht="15.75" spans="2:10">
      <c r="B17" s="122" t="s">
        <v>46</v>
      </c>
      <c r="C17" s="123"/>
      <c r="D17" s="124">
        <f>'Motorista Interestadual'!C134</f>
        <v>0.05</v>
      </c>
      <c r="E17" s="137">
        <f>(E13/J8)*(D17)</f>
        <v>9.50410509031199</v>
      </c>
      <c r="F17" s="8"/>
      <c r="G17" s="8"/>
      <c r="H17" s="8"/>
      <c r="I17" s="8"/>
      <c r="J17" s="8"/>
    </row>
    <row r="18" ht="16.5" spans="2:10">
      <c r="B18" s="138" t="s">
        <v>211</v>
      </c>
      <c r="C18" s="139"/>
      <c r="D18" s="140">
        <f>SUM(D15:D17)</f>
        <v>0.0865</v>
      </c>
      <c r="E18" s="141">
        <f>SUM(E15:E17)</f>
        <v>16.4421018062397</v>
      </c>
      <c r="F18" s="8"/>
      <c r="G18" s="8"/>
      <c r="H18" s="8"/>
      <c r="I18" s="8"/>
      <c r="J18" s="8"/>
    </row>
    <row r="19" ht="17.25" spans="2:10">
      <c r="B19" s="142" t="s">
        <v>190</v>
      </c>
      <c r="C19" s="143"/>
      <c r="D19" s="144"/>
      <c r="E19" s="145">
        <f>TRUNC((E13+E18),2)</f>
        <v>190.08</v>
      </c>
      <c r="F19" s="8"/>
      <c r="G19" s="8"/>
      <c r="H19" s="8"/>
      <c r="I19" s="8"/>
      <c r="J19" s="8"/>
    </row>
    <row r="20" ht="15.75" spans="2:10">
      <c r="B20" s="146"/>
      <c r="C20" s="146"/>
      <c r="D20" s="146"/>
      <c r="E20" s="146"/>
      <c r="F20" s="8"/>
      <c r="G20" s="8"/>
      <c r="H20" s="8"/>
      <c r="I20" s="8"/>
      <c r="J20" s="8"/>
    </row>
    <row r="21" spans="2:10">
      <c r="B21" s="147" t="s">
        <v>255</v>
      </c>
      <c r="C21" s="147"/>
      <c r="D21" s="147"/>
      <c r="E21" s="147"/>
      <c r="F21" s="8"/>
      <c r="G21" s="8"/>
      <c r="H21" s="8"/>
      <c r="I21" s="8"/>
      <c r="J21" s="8"/>
    </row>
    <row r="22" spans="2:10">
      <c r="B22" s="147" t="s">
        <v>256</v>
      </c>
      <c r="C22" s="147"/>
      <c r="D22" s="147"/>
      <c r="E22" s="147"/>
      <c r="F22" s="8"/>
      <c r="G22" s="8"/>
      <c r="H22" s="8"/>
      <c r="I22" s="8"/>
      <c r="J22" s="8"/>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4"/>
  <sheetViews>
    <sheetView zoomScale="90" zoomScaleNormal="90" topLeftCell="A74" workbookViewId="0">
      <selection activeCell="L64" sqref="L64"/>
    </sheetView>
  </sheetViews>
  <sheetFormatPr defaultColWidth="9.14285714285714" defaultRowHeight="15" outlineLevelCol="7"/>
  <cols>
    <col min="2" max="2" width="13.1619047619048" style="58" customWidth="1"/>
    <col min="3" max="3" width="39.3619047619048" customWidth="1"/>
    <col min="4" max="4" width="9" style="59" customWidth="1"/>
    <col min="5" max="5" width="9.71428571428571" customWidth="1"/>
    <col min="6" max="6" width="12.6952380952381" customWidth="1"/>
    <col min="7" max="7" width="12.2857142857143" customWidth="1"/>
    <col min="8" max="8" width="13.3333333333333" customWidth="1"/>
  </cols>
  <sheetData>
    <row r="1" spans="1:8">
      <c r="A1" s="60" t="s">
        <v>257</v>
      </c>
      <c r="B1" s="61"/>
      <c r="C1" s="60"/>
      <c r="D1" s="62"/>
      <c r="E1" s="60"/>
      <c r="F1" s="60"/>
      <c r="G1" s="60"/>
      <c r="H1" s="60"/>
    </row>
    <row r="2" spans="1:8">
      <c r="A2" s="63" t="s">
        <v>258</v>
      </c>
      <c r="B2" s="64"/>
      <c r="C2" s="63"/>
      <c r="D2" s="65"/>
      <c r="E2" s="63"/>
      <c r="F2" s="63"/>
      <c r="G2" s="63"/>
      <c r="H2" s="63"/>
    </row>
    <row r="3" ht="60" spans="1:8">
      <c r="A3" s="66" t="s">
        <v>259</v>
      </c>
      <c r="B3" s="66" t="s">
        <v>260</v>
      </c>
      <c r="C3" s="66" t="s">
        <v>261</v>
      </c>
      <c r="D3" s="66" t="s">
        <v>262</v>
      </c>
      <c r="E3" s="66" t="s">
        <v>263</v>
      </c>
      <c r="F3" s="66" t="s">
        <v>264</v>
      </c>
      <c r="G3" s="66" t="s">
        <v>265</v>
      </c>
      <c r="H3" s="66" t="s">
        <v>266</v>
      </c>
    </row>
    <row r="4" ht="30" spans="1:8">
      <c r="A4" s="67">
        <v>1</v>
      </c>
      <c r="B4" s="16" t="s">
        <v>267</v>
      </c>
      <c r="C4" s="68" t="s">
        <v>268</v>
      </c>
      <c r="D4" s="16" t="s">
        <v>269</v>
      </c>
      <c r="E4" s="69">
        <v>62.9</v>
      </c>
      <c r="F4" s="16">
        <v>4</v>
      </c>
      <c r="G4" s="70">
        <f t="shared" ref="G4:G10" si="0">TRUNC(F4*E4,2)</f>
        <v>251.6</v>
      </c>
      <c r="H4" s="70">
        <f t="shared" ref="H4:H10" si="1">TRUNC(G4/12,2)</f>
        <v>20.96</v>
      </c>
    </row>
    <row r="5" ht="45" spans="1:8">
      <c r="A5" s="67">
        <v>2</v>
      </c>
      <c r="B5" s="16" t="s">
        <v>270</v>
      </c>
      <c r="C5" s="68" t="s">
        <v>271</v>
      </c>
      <c r="D5" s="16" t="s">
        <v>269</v>
      </c>
      <c r="E5" s="69">
        <v>145</v>
      </c>
      <c r="F5" s="16">
        <v>2</v>
      </c>
      <c r="G5" s="70">
        <f t="shared" si="0"/>
        <v>290</v>
      </c>
      <c r="H5" s="70">
        <f t="shared" si="1"/>
        <v>24.16</v>
      </c>
    </row>
    <row r="6" ht="60" spans="1:8">
      <c r="A6" s="67">
        <v>3</v>
      </c>
      <c r="B6" s="16" t="s">
        <v>272</v>
      </c>
      <c r="C6" s="68" t="s">
        <v>273</v>
      </c>
      <c r="D6" s="16" t="s">
        <v>269</v>
      </c>
      <c r="E6" s="69">
        <v>66.98</v>
      </c>
      <c r="F6" s="16">
        <v>4</v>
      </c>
      <c r="G6" s="70">
        <f t="shared" si="0"/>
        <v>267.92</v>
      </c>
      <c r="H6" s="70">
        <f t="shared" si="1"/>
        <v>22.32</v>
      </c>
    </row>
    <row r="7" ht="60" spans="1:8">
      <c r="A7" s="67">
        <v>4</v>
      </c>
      <c r="B7" s="16" t="s">
        <v>272</v>
      </c>
      <c r="C7" s="68" t="s">
        <v>274</v>
      </c>
      <c r="D7" s="16" t="s">
        <v>269</v>
      </c>
      <c r="E7" s="69">
        <v>24.99</v>
      </c>
      <c r="F7" s="16">
        <v>4</v>
      </c>
      <c r="G7" s="70">
        <f t="shared" si="0"/>
        <v>99.96</v>
      </c>
      <c r="H7" s="70">
        <f t="shared" si="1"/>
        <v>8.33</v>
      </c>
    </row>
    <row r="8" ht="30" spans="1:8">
      <c r="A8" s="67">
        <v>5</v>
      </c>
      <c r="B8" s="16" t="s">
        <v>275</v>
      </c>
      <c r="C8" s="68" t="s">
        <v>276</v>
      </c>
      <c r="D8" s="16" t="s">
        <v>277</v>
      </c>
      <c r="E8" s="69">
        <v>79.29</v>
      </c>
      <c r="F8" s="16">
        <v>2</v>
      </c>
      <c r="G8" s="70">
        <f t="shared" si="0"/>
        <v>158.58</v>
      </c>
      <c r="H8" s="70">
        <f t="shared" si="1"/>
        <v>13.21</v>
      </c>
    </row>
    <row r="9" ht="45" spans="1:8">
      <c r="A9" s="67">
        <v>6</v>
      </c>
      <c r="B9" s="16" t="s">
        <v>278</v>
      </c>
      <c r="C9" s="68" t="s">
        <v>279</v>
      </c>
      <c r="D9" s="16" t="s">
        <v>277</v>
      </c>
      <c r="E9" s="69">
        <v>8.82</v>
      </c>
      <c r="F9" s="16">
        <v>4</v>
      </c>
      <c r="G9" s="70">
        <f t="shared" si="0"/>
        <v>35.28</v>
      </c>
      <c r="H9" s="70">
        <f t="shared" si="1"/>
        <v>2.94</v>
      </c>
    </row>
    <row r="10" ht="45" spans="1:8">
      <c r="A10" s="67">
        <v>7</v>
      </c>
      <c r="B10" s="16" t="s">
        <v>280</v>
      </c>
      <c r="C10" s="68" t="s">
        <v>281</v>
      </c>
      <c r="D10" s="16" t="s">
        <v>269</v>
      </c>
      <c r="E10" s="69">
        <v>5.8</v>
      </c>
      <c r="F10" s="16">
        <v>1</v>
      </c>
      <c r="G10" s="70">
        <f t="shared" si="0"/>
        <v>5.8</v>
      </c>
      <c r="H10" s="70">
        <f t="shared" si="1"/>
        <v>0.48</v>
      </c>
    </row>
    <row r="11" spans="1:8">
      <c r="A11" s="18" t="s">
        <v>190</v>
      </c>
      <c r="B11" s="18"/>
      <c r="C11" s="18"/>
      <c r="D11" s="18"/>
      <c r="E11" s="18"/>
      <c r="F11" s="18"/>
      <c r="G11" s="19">
        <f>TRUNC(SUM(H4:H10),2)</f>
        <v>92.4</v>
      </c>
      <c r="H11" s="19"/>
    </row>
    <row r="14" spans="1:8">
      <c r="A14" s="60" t="s">
        <v>257</v>
      </c>
      <c r="B14" s="61"/>
      <c r="C14" s="60"/>
      <c r="D14" s="62"/>
      <c r="E14" s="60"/>
      <c r="F14" s="60"/>
      <c r="G14" s="60"/>
      <c r="H14" s="60"/>
    </row>
    <row r="15" spans="1:8">
      <c r="A15" s="63" t="s">
        <v>282</v>
      </c>
      <c r="B15" s="64"/>
      <c r="C15" s="63"/>
      <c r="D15" s="65"/>
      <c r="E15" s="63"/>
      <c r="F15" s="63"/>
      <c r="G15" s="63"/>
      <c r="H15" s="63"/>
    </row>
    <row r="16" ht="60" spans="1:8">
      <c r="A16" s="66" t="s">
        <v>259</v>
      </c>
      <c r="B16" s="66" t="s">
        <v>260</v>
      </c>
      <c r="C16" s="66" t="s">
        <v>261</v>
      </c>
      <c r="D16" s="66" t="s">
        <v>262</v>
      </c>
      <c r="E16" s="66" t="s">
        <v>263</v>
      </c>
      <c r="F16" s="66" t="s">
        <v>264</v>
      </c>
      <c r="G16" s="66" t="s">
        <v>265</v>
      </c>
      <c r="H16" s="66" t="s">
        <v>266</v>
      </c>
    </row>
    <row r="17" ht="30" spans="1:8">
      <c r="A17" s="67">
        <v>1</v>
      </c>
      <c r="B17" s="16" t="s">
        <v>267</v>
      </c>
      <c r="C17" s="68" t="s">
        <v>268</v>
      </c>
      <c r="D17" s="16" t="s">
        <v>269</v>
      </c>
      <c r="E17" s="69">
        <v>62.9</v>
      </c>
      <c r="F17" s="16">
        <v>4</v>
      </c>
      <c r="G17" s="70">
        <f t="shared" ref="G17:G23" si="2">TRUNC(F17*E17,2)</f>
        <v>251.6</v>
      </c>
      <c r="H17" s="70">
        <f t="shared" ref="H17:H23" si="3">TRUNC(G17/12,2)</f>
        <v>20.96</v>
      </c>
    </row>
    <row r="18" ht="45" spans="1:8">
      <c r="A18" s="67">
        <v>2</v>
      </c>
      <c r="B18" s="16" t="s">
        <v>270</v>
      </c>
      <c r="C18" s="68" t="s">
        <v>271</v>
      </c>
      <c r="D18" s="16" t="s">
        <v>269</v>
      </c>
      <c r="E18" s="69">
        <v>145</v>
      </c>
      <c r="F18" s="16">
        <v>2</v>
      </c>
      <c r="G18" s="70">
        <f t="shared" si="2"/>
        <v>290</v>
      </c>
      <c r="H18" s="70">
        <f t="shared" si="3"/>
        <v>24.16</v>
      </c>
    </row>
    <row r="19" ht="60" spans="1:8">
      <c r="A19" s="67">
        <v>3</v>
      </c>
      <c r="B19" s="16" t="s">
        <v>272</v>
      </c>
      <c r="C19" s="68" t="s">
        <v>273</v>
      </c>
      <c r="D19" s="16" t="s">
        <v>269</v>
      </c>
      <c r="E19" s="69">
        <v>66.98</v>
      </c>
      <c r="F19" s="16">
        <v>4</v>
      </c>
      <c r="G19" s="70">
        <f t="shared" si="2"/>
        <v>267.92</v>
      </c>
      <c r="H19" s="70">
        <f t="shared" si="3"/>
        <v>22.32</v>
      </c>
    </row>
    <row r="20" ht="60" spans="1:8">
      <c r="A20" s="67">
        <v>4</v>
      </c>
      <c r="B20" s="16" t="s">
        <v>272</v>
      </c>
      <c r="C20" s="68" t="s">
        <v>274</v>
      </c>
      <c r="D20" s="16" t="s">
        <v>269</v>
      </c>
      <c r="E20" s="69">
        <v>24.99</v>
      </c>
      <c r="F20" s="16">
        <v>4</v>
      </c>
      <c r="G20" s="70">
        <f t="shared" si="2"/>
        <v>99.96</v>
      </c>
      <c r="H20" s="70">
        <f t="shared" si="3"/>
        <v>8.33</v>
      </c>
    </row>
    <row r="21" ht="30" spans="1:8">
      <c r="A21" s="67">
        <v>5</v>
      </c>
      <c r="B21" s="16" t="s">
        <v>275</v>
      </c>
      <c r="C21" s="68" t="s">
        <v>276</v>
      </c>
      <c r="D21" s="16" t="s">
        <v>277</v>
      </c>
      <c r="E21" s="69">
        <v>79.29</v>
      </c>
      <c r="F21" s="16">
        <v>2</v>
      </c>
      <c r="G21" s="70">
        <f t="shared" si="2"/>
        <v>158.58</v>
      </c>
      <c r="H21" s="70">
        <f t="shared" si="3"/>
        <v>13.21</v>
      </c>
    </row>
    <row r="22" ht="45" spans="1:8">
      <c r="A22" s="67">
        <v>6</v>
      </c>
      <c r="B22" s="16" t="s">
        <v>278</v>
      </c>
      <c r="C22" s="68" t="s">
        <v>279</v>
      </c>
      <c r="D22" s="16" t="s">
        <v>277</v>
      </c>
      <c r="E22" s="69">
        <v>8.82</v>
      </c>
      <c r="F22" s="16">
        <v>4</v>
      </c>
      <c r="G22" s="70">
        <f t="shared" si="2"/>
        <v>35.28</v>
      </c>
      <c r="H22" s="70">
        <f t="shared" si="3"/>
        <v>2.94</v>
      </c>
    </row>
    <row r="23" ht="45" spans="1:8">
      <c r="A23" s="67">
        <v>7</v>
      </c>
      <c r="B23" s="16" t="s">
        <v>280</v>
      </c>
      <c r="C23" s="68" t="s">
        <v>281</v>
      </c>
      <c r="D23" s="16" t="s">
        <v>269</v>
      </c>
      <c r="E23" s="69">
        <v>5.8</v>
      </c>
      <c r="F23" s="16">
        <v>1</v>
      </c>
      <c r="G23" s="70">
        <f t="shared" si="2"/>
        <v>5.8</v>
      </c>
      <c r="H23" s="70">
        <f t="shared" si="3"/>
        <v>0.48</v>
      </c>
    </row>
    <row r="24" spans="1:8">
      <c r="A24" s="18" t="s">
        <v>190</v>
      </c>
      <c r="B24" s="18"/>
      <c r="C24" s="18"/>
      <c r="D24" s="18"/>
      <c r="E24" s="18"/>
      <c r="F24" s="18"/>
      <c r="G24" s="19">
        <f>TRUNC(SUM(H17:H23),2)</f>
        <v>92.4</v>
      </c>
      <c r="H24" s="19"/>
    </row>
    <row r="27" spans="1:8">
      <c r="A27" s="60" t="s">
        <v>257</v>
      </c>
      <c r="B27" s="61"/>
      <c r="C27" s="60"/>
      <c r="D27" s="62"/>
      <c r="E27" s="60"/>
      <c r="F27" s="60"/>
      <c r="G27" s="60"/>
      <c r="H27" s="60"/>
    </row>
    <row r="28" spans="1:8">
      <c r="A28" s="63" t="s">
        <v>283</v>
      </c>
      <c r="B28" s="64"/>
      <c r="C28" s="63"/>
      <c r="D28" s="65"/>
      <c r="E28" s="63"/>
      <c r="F28" s="63"/>
      <c r="G28" s="63"/>
      <c r="H28" s="63"/>
    </row>
    <row r="29" ht="60" spans="1:8">
      <c r="A29" s="66" t="s">
        <v>259</v>
      </c>
      <c r="B29" s="66" t="s">
        <v>260</v>
      </c>
      <c r="C29" s="66" t="s">
        <v>261</v>
      </c>
      <c r="D29" s="66" t="s">
        <v>262</v>
      </c>
      <c r="E29" s="66" t="s">
        <v>263</v>
      </c>
      <c r="F29" s="66" t="s">
        <v>264</v>
      </c>
      <c r="G29" s="66" t="s">
        <v>265</v>
      </c>
      <c r="H29" s="66" t="s">
        <v>266</v>
      </c>
    </row>
    <row r="30" ht="30" spans="1:8">
      <c r="A30" s="67">
        <v>1</v>
      </c>
      <c r="B30" s="16" t="s">
        <v>267</v>
      </c>
      <c r="C30" s="68" t="s">
        <v>284</v>
      </c>
      <c r="D30" s="16" t="s">
        <v>269</v>
      </c>
      <c r="E30" s="69">
        <v>62.9</v>
      </c>
      <c r="F30" s="16">
        <v>4</v>
      </c>
      <c r="G30" s="70">
        <f t="shared" ref="G30:G36" si="4">TRUNC(F30*E30,2)</f>
        <v>251.6</v>
      </c>
      <c r="H30" s="70">
        <f t="shared" ref="H30:H36" si="5">TRUNC(G30/12,2)</f>
        <v>20.96</v>
      </c>
    </row>
    <row r="31" ht="60" spans="1:8">
      <c r="A31" s="67">
        <v>2</v>
      </c>
      <c r="B31" s="16" t="s">
        <v>272</v>
      </c>
      <c r="C31" s="68" t="s">
        <v>273</v>
      </c>
      <c r="D31" s="16" t="s">
        <v>269</v>
      </c>
      <c r="E31" s="69">
        <v>66.98</v>
      </c>
      <c r="F31" s="16">
        <v>4</v>
      </c>
      <c r="G31" s="70">
        <f t="shared" si="4"/>
        <v>267.92</v>
      </c>
      <c r="H31" s="70">
        <f t="shared" si="5"/>
        <v>22.32</v>
      </c>
    </row>
    <row r="32" ht="60" spans="1:8">
      <c r="A32" s="67">
        <v>3</v>
      </c>
      <c r="B32" s="16" t="s">
        <v>272</v>
      </c>
      <c r="C32" s="68" t="s">
        <v>274</v>
      </c>
      <c r="D32" s="16" t="s">
        <v>269</v>
      </c>
      <c r="E32" s="69">
        <v>24.99</v>
      </c>
      <c r="F32" s="16">
        <v>4</v>
      </c>
      <c r="G32" s="70">
        <f t="shared" si="4"/>
        <v>99.96</v>
      </c>
      <c r="H32" s="70">
        <f t="shared" si="5"/>
        <v>8.33</v>
      </c>
    </row>
    <row r="33" ht="90" spans="1:8">
      <c r="A33" s="67">
        <v>4</v>
      </c>
      <c r="B33" s="71" t="s">
        <v>285</v>
      </c>
      <c r="C33" s="68" t="s">
        <v>286</v>
      </c>
      <c r="D33" s="16" t="s">
        <v>277</v>
      </c>
      <c r="E33" s="69">
        <v>23.36</v>
      </c>
      <c r="F33" s="16">
        <v>2</v>
      </c>
      <c r="G33" s="70">
        <f t="shared" si="4"/>
        <v>46.72</v>
      </c>
      <c r="H33" s="70">
        <f t="shared" si="5"/>
        <v>3.89</v>
      </c>
    </row>
    <row r="34" ht="30" spans="1:8">
      <c r="A34" s="67">
        <v>5</v>
      </c>
      <c r="B34" s="16" t="s">
        <v>275</v>
      </c>
      <c r="C34" s="68" t="s">
        <v>276</v>
      </c>
      <c r="D34" s="16" t="s">
        <v>277</v>
      </c>
      <c r="E34" s="69">
        <v>79.29</v>
      </c>
      <c r="F34" s="16">
        <v>2</v>
      </c>
      <c r="G34" s="70">
        <f t="shared" si="4"/>
        <v>158.58</v>
      </c>
      <c r="H34" s="70">
        <f t="shared" si="5"/>
        <v>13.21</v>
      </c>
    </row>
    <row r="35" ht="45" spans="1:8">
      <c r="A35" s="67">
        <v>6</v>
      </c>
      <c r="B35" s="16" t="s">
        <v>278</v>
      </c>
      <c r="C35" s="68" t="s">
        <v>279</v>
      </c>
      <c r="D35" s="16" t="s">
        <v>277</v>
      </c>
      <c r="E35" s="69">
        <v>8.82</v>
      </c>
      <c r="F35" s="16">
        <v>4</v>
      </c>
      <c r="G35" s="70">
        <f t="shared" si="4"/>
        <v>35.28</v>
      </c>
      <c r="H35" s="70">
        <f t="shared" si="5"/>
        <v>2.94</v>
      </c>
    </row>
    <row r="36" ht="45" spans="1:8">
      <c r="A36" s="67">
        <v>7</v>
      </c>
      <c r="B36" s="16" t="s">
        <v>280</v>
      </c>
      <c r="C36" s="68" t="s">
        <v>281</v>
      </c>
      <c r="D36" s="16" t="s">
        <v>269</v>
      </c>
      <c r="E36" s="69">
        <v>5.8</v>
      </c>
      <c r="F36" s="16">
        <v>1</v>
      </c>
      <c r="G36" s="70">
        <f t="shared" si="4"/>
        <v>5.8</v>
      </c>
      <c r="H36" s="70">
        <f t="shared" si="5"/>
        <v>0.48</v>
      </c>
    </row>
    <row r="37" spans="1:8">
      <c r="A37" s="18" t="s">
        <v>190</v>
      </c>
      <c r="B37" s="18"/>
      <c r="C37" s="18"/>
      <c r="D37" s="18"/>
      <c r="E37" s="18"/>
      <c r="F37" s="18"/>
      <c r="G37" s="19">
        <f>TRUNC(SUM(H30:H36),2)</f>
        <v>72.13</v>
      </c>
      <c r="H37" s="19"/>
    </row>
    <row r="40" spans="1:8">
      <c r="A40" s="60" t="s">
        <v>287</v>
      </c>
      <c r="B40" s="61"/>
      <c r="C40" s="60"/>
      <c r="D40" s="62"/>
      <c r="E40" s="60"/>
      <c r="F40" s="60"/>
      <c r="G40" s="60"/>
      <c r="H40" s="60"/>
    </row>
    <row r="41" spans="1:8">
      <c r="A41" s="63" t="s">
        <v>288</v>
      </c>
      <c r="B41" s="64"/>
      <c r="C41" s="63"/>
      <c r="D41" s="65"/>
      <c r="E41" s="63"/>
      <c r="F41" s="63"/>
      <c r="G41" s="63"/>
      <c r="H41" s="63"/>
    </row>
    <row r="42" ht="60" spans="1:8">
      <c r="A42" s="66" t="s">
        <v>259</v>
      </c>
      <c r="B42" s="66" t="s">
        <v>260</v>
      </c>
      <c r="C42" s="66" t="s">
        <v>261</v>
      </c>
      <c r="D42" s="66" t="s">
        <v>262</v>
      </c>
      <c r="E42" s="66" t="s">
        <v>263</v>
      </c>
      <c r="F42" s="66" t="s">
        <v>264</v>
      </c>
      <c r="G42" s="66" t="s">
        <v>265</v>
      </c>
      <c r="H42" s="66" t="s">
        <v>266</v>
      </c>
    </row>
    <row r="43" ht="75" spans="1:8">
      <c r="A43" s="67">
        <v>1</v>
      </c>
      <c r="B43" s="16" t="s">
        <v>267</v>
      </c>
      <c r="C43" s="72" t="s">
        <v>289</v>
      </c>
      <c r="D43" s="16" t="s">
        <v>269</v>
      </c>
      <c r="E43" s="69">
        <v>131.61</v>
      </c>
      <c r="F43" s="16">
        <v>4</v>
      </c>
      <c r="G43" s="70">
        <f t="shared" ref="G43:G58" si="6">TRUNC(F43*E43,2)</f>
        <v>526.44</v>
      </c>
      <c r="H43" s="70">
        <f t="shared" ref="H43:H58" si="7">TRUNC(G43/12,2)</f>
        <v>43.87</v>
      </c>
    </row>
    <row r="44" ht="90" spans="1:8">
      <c r="A44" s="67">
        <v>2</v>
      </c>
      <c r="B44" s="16" t="s">
        <v>272</v>
      </c>
      <c r="C44" s="72" t="s">
        <v>290</v>
      </c>
      <c r="D44" s="16" t="s">
        <v>269</v>
      </c>
      <c r="E44" s="69">
        <v>138.74</v>
      </c>
      <c r="F44" s="16">
        <v>4</v>
      </c>
      <c r="G44" s="70">
        <f t="shared" si="6"/>
        <v>554.96</v>
      </c>
      <c r="H44" s="70">
        <f t="shared" si="7"/>
        <v>46.24</v>
      </c>
    </row>
    <row r="45" ht="60" spans="1:8">
      <c r="A45" s="67">
        <v>3</v>
      </c>
      <c r="B45" s="16" t="s">
        <v>272</v>
      </c>
      <c r="C45" s="73" t="s">
        <v>274</v>
      </c>
      <c r="D45" s="16" t="s">
        <v>269</v>
      </c>
      <c r="E45" s="69">
        <v>24.99</v>
      </c>
      <c r="F45" s="16">
        <v>4</v>
      </c>
      <c r="G45" s="70">
        <f t="shared" si="6"/>
        <v>99.96</v>
      </c>
      <c r="H45" s="70">
        <f t="shared" si="7"/>
        <v>8.33</v>
      </c>
    </row>
    <row r="46" ht="30" spans="1:8">
      <c r="A46" s="67">
        <v>4</v>
      </c>
      <c r="B46" s="71" t="s">
        <v>291</v>
      </c>
      <c r="C46" s="72" t="s">
        <v>292</v>
      </c>
      <c r="D46" s="16" t="s">
        <v>269</v>
      </c>
      <c r="E46" s="69">
        <v>11.23</v>
      </c>
      <c r="F46" s="16">
        <v>2</v>
      </c>
      <c r="G46" s="70">
        <f t="shared" si="6"/>
        <v>22.46</v>
      </c>
      <c r="H46" s="70">
        <f t="shared" si="7"/>
        <v>1.87</v>
      </c>
    </row>
    <row r="47" ht="90" spans="1:8">
      <c r="A47" s="67">
        <v>5</v>
      </c>
      <c r="B47" s="71" t="s">
        <v>285</v>
      </c>
      <c r="C47" s="72" t="s">
        <v>286</v>
      </c>
      <c r="D47" s="16" t="s">
        <v>277</v>
      </c>
      <c r="E47" s="69">
        <v>23.36</v>
      </c>
      <c r="F47" s="16">
        <v>2</v>
      </c>
      <c r="G47" s="70">
        <f t="shared" si="6"/>
        <v>46.72</v>
      </c>
      <c r="H47" s="70">
        <f t="shared" si="7"/>
        <v>3.89</v>
      </c>
    </row>
    <row r="48" ht="105" spans="1:8">
      <c r="A48" s="67">
        <v>6</v>
      </c>
      <c r="B48" s="16" t="s">
        <v>275</v>
      </c>
      <c r="C48" s="72" t="s">
        <v>293</v>
      </c>
      <c r="D48" s="16" t="s">
        <v>277</v>
      </c>
      <c r="E48" s="69">
        <v>89.5</v>
      </c>
      <c r="F48" s="16">
        <v>2</v>
      </c>
      <c r="G48" s="70">
        <f t="shared" si="6"/>
        <v>179</v>
      </c>
      <c r="H48" s="70">
        <f t="shared" si="7"/>
        <v>14.91</v>
      </c>
    </row>
    <row r="49" ht="45" spans="1:8">
      <c r="A49" s="67">
        <v>7</v>
      </c>
      <c r="B49" s="16" t="s">
        <v>278</v>
      </c>
      <c r="C49" s="72" t="s">
        <v>279</v>
      </c>
      <c r="D49" s="16" t="s">
        <v>277</v>
      </c>
      <c r="E49" s="69">
        <v>8.82</v>
      </c>
      <c r="F49" s="16">
        <v>4</v>
      </c>
      <c r="G49" s="70">
        <f t="shared" si="6"/>
        <v>35.28</v>
      </c>
      <c r="H49" s="70">
        <f t="shared" si="7"/>
        <v>2.94</v>
      </c>
    </row>
    <row r="50" ht="45" spans="1:8">
      <c r="A50" s="67">
        <v>8</v>
      </c>
      <c r="B50" s="16" t="s">
        <v>280</v>
      </c>
      <c r="C50" s="72" t="s">
        <v>281</v>
      </c>
      <c r="D50" s="16" t="s">
        <v>269</v>
      </c>
      <c r="E50" s="69">
        <v>5.8</v>
      </c>
      <c r="F50" s="16">
        <v>1</v>
      </c>
      <c r="G50" s="70">
        <f t="shared" si="6"/>
        <v>5.8</v>
      </c>
      <c r="H50" s="70">
        <f t="shared" si="7"/>
        <v>0.48</v>
      </c>
    </row>
    <row r="51" ht="120" spans="1:8">
      <c r="A51" s="67">
        <v>9</v>
      </c>
      <c r="B51" s="16" t="s">
        <v>294</v>
      </c>
      <c r="C51" s="72" t="s">
        <v>295</v>
      </c>
      <c r="D51" s="16" t="s">
        <v>269</v>
      </c>
      <c r="E51" s="69">
        <v>16.2</v>
      </c>
      <c r="F51" s="16">
        <v>1</v>
      </c>
      <c r="G51" s="70">
        <f t="shared" si="6"/>
        <v>16.2</v>
      </c>
      <c r="H51" s="70">
        <f t="shared" si="7"/>
        <v>1.35</v>
      </c>
    </row>
    <row r="52" ht="60" spans="1:8">
      <c r="A52" s="67">
        <v>10</v>
      </c>
      <c r="B52" s="16" t="s">
        <v>296</v>
      </c>
      <c r="C52" s="72" t="s">
        <v>297</v>
      </c>
      <c r="D52" s="16" t="s">
        <v>298</v>
      </c>
      <c r="E52" s="69">
        <v>222.4</v>
      </c>
      <c r="F52" s="16">
        <v>1</v>
      </c>
      <c r="G52" s="70">
        <f t="shared" si="6"/>
        <v>222.4</v>
      </c>
      <c r="H52" s="70">
        <f t="shared" si="7"/>
        <v>18.53</v>
      </c>
    </row>
    <row r="53" ht="45" spans="1:8">
      <c r="A53" s="67">
        <v>11</v>
      </c>
      <c r="B53" s="16" t="s">
        <v>299</v>
      </c>
      <c r="C53" s="72" t="s">
        <v>300</v>
      </c>
      <c r="D53" s="16" t="s">
        <v>277</v>
      </c>
      <c r="E53" s="69">
        <v>497.03</v>
      </c>
      <c r="F53" s="16">
        <v>1</v>
      </c>
      <c r="G53" s="70">
        <f t="shared" si="6"/>
        <v>497.03</v>
      </c>
      <c r="H53" s="70">
        <f t="shared" si="7"/>
        <v>41.41</v>
      </c>
    </row>
    <row r="54" ht="60" spans="1:8">
      <c r="A54" s="67">
        <v>12</v>
      </c>
      <c r="B54" s="16" t="s">
        <v>299</v>
      </c>
      <c r="C54" s="72" t="s">
        <v>301</v>
      </c>
      <c r="D54" s="16" t="s">
        <v>277</v>
      </c>
      <c r="E54" s="69">
        <v>3.8</v>
      </c>
      <c r="F54" s="16">
        <v>6</v>
      </c>
      <c r="G54" s="70">
        <f t="shared" si="6"/>
        <v>22.8</v>
      </c>
      <c r="H54" s="70">
        <f t="shared" si="7"/>
        <v>1.9</v>
      </c>
    </row>
    <row r="55" ht="75" spans="1:8">
      <c r="A55" s="67">
        <v>13</v>
      </c>
      <c r="B55" s="16" t="s">
        <v>302</v>
      </c>
      <c r="C55" s="72" t="s">
        <v>303</v>
      </c>
      <c r="D55" s="16" t="s">
        <v>269</v>
      </c>
      <c r="E55" s="69">
        <v>7</v>
      </c>
      <c r="F55" s="16">
        <v>2</v>
      </c>
      <c r="G55" s="70">
        <f t="shared" si="6"/>
        <v>14</v>
      </c>
      <c r="H55" s="70">
        <f t="shared" si="7"/>
        <v>1.16</v>
      </c>
    </row>
    <row r="56" ht="45" spans="1:8">
      <c r="A56" s="67">
        <v>14</v>
      </c>
      <c r="B56" s="16" t="s">
        <v>304</v>
      </c>
      <c r="C56" s="72" t="s">
        <v>305</v>
      </c>
      <c r="D56" s="16" t="s">
        <v>269</v>
      </c>
      <c r="E56" s="69">
        <v>1.57</v>
      </c>
      <c r="F56" s="16">
        <v>4</v>
      </c>
      <c r="G56" s="70">
        <f t="shared" si="6"/>
        <v>6.28</v>
      </c>
      <c r="H56" s="70">
        <f t="shared" si="7"/>
        <v>0.52</v>
      </c>
    </row>
    <row r="57" ht="30" spans="1:8">
      <c r="A57" s="67">
        <v>15</v>
      </c>
      <c r="B57" s="16" t="s">
        <v>306</v>
      </c>
      <c r="C57" s="72" t="s">
        <v>307</v>
      </c>
      <c r="D57" s="16" t="s">
        <v>269</v>
      </c>
      <c r="E57" s="69">
        <v>28</v>
      </c>
      <c r="F57" s="16">
        <v>4</v>
      </c>
      <c r="G57" s="70">
        <f t="shared" si="6"/>
        <v>112</v>
      </c>
      <c r="H57" s="70">
        <f t="shared" si="7"/>
        <v>9.33</v>
      </c>
    </row>
    <row r="58" ht="105" spans="1:8">
      <c r="A58" s="67">
        <v>16</v>
      </c>
      <c r="B58" s="16" t="s">
        <v>308</v>
      </c>
      <c r="C58" s="72" t="s">
        <v>309</v>
      </c>
      <c r="D58" s="16" t="s">
        <v>269</v>
      </c>
      <c r="E58" s="69">
        <v>3.55</v>
      </c>
      <c r="F58" s="16">
        <v>12</v>
      </c>
      <c r="G58" s="70">
        <f t="shared" si="6"/>
        <v>42.6</v>
      </c>
      <c r="H58" s="70">
        <f t="shared" si="7"/>
        <v>3.55</v>
      </c>
    </row>
    <row r="59" spans="1:8">
      <c r="A59" s="18" t="s">
        <v>190</v>
      </c>
      <c r="B59" s="18"/>
      <c r="C59" s="18"/>
      <c r="D59" s="18"/>
      <c r="E59" s="18"/>
      <c r="F59" s="18"/>
      <c r="G59" s="19">
        <f>TRUNC(SUM(H43:H58),2)</f>
        <v>200.28</v>
      </c>
      <c r="H59" s="19"/>
    </row>
    <row r="62" spans="1:8">
      <c r="A62" s="74" t="s">
        <v>287</v>
      </c>
      <c r="B62" s="75"/>
      <c r="C62" s="74"/>
      <c r="D62" s="76"/>
      <c r="E62" s="74"/>
      <c r="F62" s="74"/>
      <c r="G62" s="74"/>
      <c r="H62" s="74"/>
    </row>
    <row r="63" spans="1:8">
      <c r="A63" s="63" t="s">
        <v>310</v>
      </c>
      <c r="B63" s="64"/>
      <c r="C63" s="63"/>
      <c r="D63" s="65"/>
      <c r="E63" s="63"/>
      <c r="F63" s="63"/>
      <c r="G63" s="63"/>
      <c r="H63" s="63"/>
    </row>
    <row r="64" ht="60" spans="1:8">
      <c r="A64" s="77" t="s">
        <v>259</v>
      </c>
      <c r="B64" s="77" t="s">
        <v>260</v>
      </c>
      <c r="C64" s="77" t="s">
        <v>261</v>
      </c>
      <c r="D64" s="77" t="s">
        <v>262</v>
      </c>
      <c r="E64" s="77" t="s">
        <v>263</v>
      </c>
      <c r="F64" s="77" t="s">
        <v>264</v>
      </c>
      <c r="G64" s="77" t="s">
        <v>265</v>
      </c>
      <c r="H64" s="77" t="s">
        <v>266</v>
      </c>
    </row>
    <row r="65" ht="60" spans="1:8">
      <c r="A65" s="67">
        <v>1</v>
      </c>
      <c r="B65" s="16" t="s">
        <v>267</v>
      </c>
      <c r="C65" s="68" t="s">
        <v>311</v>
      </c>
      <c r="D65" s="16" t="s">
        <v>269</v>
      </c>
      <c r="E65" s="69">
        <v>52.53</v>
      </c>
      <c r="F65" s="16">
        <v>4</v>
      </c>
      <c r="G65" s="70">
        <f t="shared" ref="G65:G80" si="8">TRUNC(F65*E65,2)</f>
        <v>210.12</v>
      </c>
      <c r="H65" s="70">
        <f t="shared" ref="H65:H80" si="9">TRUNC(G65/12,2)</f>
        <v>17.51</v>
      </c>
    </row>
    <row r="66" ht="60" spans="1:8">
      <c r="A66" s="67">
        <v>2</v>
      </c>
      <c r="B66" s="16" t="s">
        <v>272</v>
      </c>
      <c r="C66" s="68" t="s">
        <v>312</v>
      </c>
      <c r="D66" s="16" t="s">
        <v>269</v>
      </c>
      <c r="E66" s="69">
        <v>45.6</v>
      </c>
      <c r="F66" s="16">
        <v>4</v>
      </c>
      <c r="G66" s="70">
        <f t="shared" si="8"/>
        <v>182.4</v>
      </c>
      <c r="H66" s="70">
        <f t="shared" si="9"/>
        <v>15.2</v>
      </c>
    </row>
    <row r="67" ht="60" spans="1:8">
      <c r="A67" s="67">
        <v>3</v>
      </c>
      <c r="B67" s="16" t="s">
        <v>272</v>
      </c>
      <c r="C67" s="68" t="s">
        <v>274</v>
      </c>
      <c r="D67" s="16" t="s">
        <v>269</v>
      </c>
      <c r="E67" s="69">
        <v>24.99</v>
      </c>
      <c r="F67" s="16">
        <v>4</v>
      </c>
      <c r="G67" s="70">
        <f t="shared" si="8"/>
        <v>99.96</v>
      </c>
      <c r="H67" s="70">
        <f t="shared" si="9"/>
        <v>8.33</v>
      </c>
    </row>
    <row r="68" ht="30" spans="1:8">
      <c r="A68" s="67">
        <v>4</v>
      </c>
      <c r="B68" s="71" t="s">
        <v>291</v>
      </c>
      <c r="C68" s="68" t="s">
        <v>292</v>
      </c>
      <c r="D68" s="16" t="s">
        <v>269</v>
      </c>
      <c r="E68" s="69">
        <v>11.23</v>
      </c>
      <c r="F68" s="16">
        <v>2</v>
      </c>
      <c r="G68" s="70">
        <f t="shared" si="8"/>
        <v>22.46</v>
      </c>
      <c r="H68" s="70">
        <f t="shared" si="9"/>
        <v>1.87</v>
      </c>
    </row>
    <row r="69" ht="90" spans="1:8">
      <c r="A69" s="67">
        <v>5</v>
      </c>
      <c r="B69" s="71" t="s">
        <v>285</v>
      </c>
      <c r="C69" s="68" t="s">
        <v>286</v>
      </c>
      <c r="D69" s="16" t="s">
        <v>277</v>
      </c>
      <c r="E69" s="69">
        <v>23.36</v>
      </c>
      <c r="F69" s="16">
        <v>2</v>
      </c>
      <c r="G69" s="70">
        <f t="shared" si="8"/>
        <v>46.72</v>
      </c>
      <c r="H69" s="70">
        <f t="shared" si="9"/>
        <v>3.89</v>
      </c>
    </row>
    <row r="70" ht="60" spans="1:8">
      <c r="A70" s="67">
        <v>6</v>
      </c>
      <c r="B70" s="16" t="s">
        <v>275</v>
      </c>
      <c r="C70" s="68" t="s">
        <v>313</v>
      </c>
      <c r="D70" s="16" t="s">
        <v>277</v>
      </c>
      <c r="E70" s="69">
        <v>55.76</v>
      </c>
      <c r="F70" s="16">
        <v>2</v>
      </c>
      <c r="G70" s="70">
        <f t="shared" si="8"/>
        <v>111.52</v>
      </c>
      <c r="H70" s="70">
        <f t="shared" si="9"/>
        <v>9.29</v>
      </c>
    </row>
    <row r="71" ht="105" spans="1:8">
      <c r="A71" s="67">
        <v>7</v>
      </c>
      <c r="B71" s="16" t="s">
        <v>275</v>
      </c>
      <c r="C71" s="68" t="s">
        <v>314</v>
      </c>
      <c r="D71" s="16" t="s">
        <v>277</v>
      </c>
      <c r="E71" s="69">
        <v>35.16</v>
      </c>
      <c r="F71" s="16">
        <v>1</v>
      </c>
      <c r="G71" s="70">
        <f t="shared" si="8"/>
        <v>35.16</v>
      </c>
      <c r="H71" s="70">
        <f t="shared" si="9"/>
        <v>2.93</v>
      </c>
    </row>
    <row r="72" ht="45" spans="1:8">
      <c r="A72" s="67">
        <v>8</v>
      </c>
      <c r="B72" s="16" t="s">
        <v>278</v>
      </c>
      <c r="C72" s="68" t="s">
        <v>279</v>
      </c>
      <c r="D72" s="16" t="s">
        <v>277</v>
      </c>
      <c r="E72" s="69">
        <v>8.82</v>
      </c>
      <c r="F72" s="16">
        <v>4</v>
      </c>
      <c r="G72" s="70">
        <f t="shared" si="8"/>
        <v>35.28</v>
      </c>
      <c r="H72" s="70">
        <f t="shared" si="9"/>
        <v>2.94</v>
      </c>
    </row>
    <row r="73" ht="45" spans="1:8">
      <c r="A73" s="67">
        <v>9</v>
      </c>
      <c r="B73" s="16" t="s">
        <v>280</v>
      </c>
      <c r="C73" s="68" t="s">
        <v>281</v>
      </c>
      <c r="D73" s="16" t="s">
        <v>269</v>
      </c>
      <c r="E73" s="69">
        <v>5.8</v>
      </c>
      <c r="F73" s="16">
        <v>1</v>
      </c>
      <c r="G73" s="70">
        <f t="shared" si="8"/>
        <v>5.8</v>
      </c>
      <c r="H73" s="70">
        <f t="shared" si="9"/>
        <v>0.48</v>
      </c>
    </row>
    <row r="74" ht="60" spans="1:8">
      <c r="A74" s="67">
        <v>10</v>
      </c>
      <c r="B74" s="16" t="s">
        <v>294</v>
      </c>
      <c r="C74" s="68" t="s">
        <v>315</v>
      </c>
      <c r="D74" s="16" t="s">
        <v>269</v>
      </c>
      <c r="E74" s="69">
        <v>36.92</v>
      </c>
      <c r="F74" s="16">
        <v>1</v>
      </c>
      <c r="G74" s="70">
        <f t="shared" si="8"/>
        <v>36.92</v>
      </c>
      <c r="H74" s="70">
        <f t="shared" si="9"/>
        <v>3.07</v>
      </c>
    </row>
    <row r="75" ht="60" spans="1:8">
      <c r="A75" s="67">
        <v>11</v>
      </c>
      <c r="B75" s="16" t="s">
        <v>296</v>
      </c>
      <c r="C75" s="68" t="s">
        <v>297</v>
      </c>
      <c r="D75" s="16" t="s">
        <v>298</v>
      </c>
      <c r="E75" s="69">
        <v>222.4</v>
      </c>
      <c r="F75" s="16">
        <v>1</v>
      </c>
      <c r="G75" s="70">
        <f t="shared" si="8"/>
        <v>222.4</v>
      </c>
      <c r="H75" s="70">
        <f t="shared" si="9"/>
        <v>18.53</v>
      </c>
    </row>
    <row r="76" ht="60" spans="1:8">
      <c r="A76" s="67">
        <v>12</v>
      </c>
      <c r="B76" s="16" t="s">
        <v>299</v>
      </c>
      <c r="C76" s="68" t="s">
        <v>301</v>
      </c>
      <c r="D76" s="16" t="s">
        <v>277</v>
      </c>
      <c r="E76" s="69">
        <v>3.8</v>
      </c>
      <c r="F76" s="16">
        <v>6</v>
      </c>
      <c r="G76" s="70">
        <f t="shared" si="8"/>
        <v>22.8</v>
      </c>
      <c r="H76" s="70">
        <f t="shared" si="9"/>
        <v>1.9</v>
      </c>
    </row>
    <row r="77" ht="75" spans="1:8">
      <c r="A77" s="67">
        <v>13</v>
      </c>
      <c r="B77" s="16" t="s">
        <v>302</v>
      </c>
      <c r="C77" s="68" t="s">
        <v>303</v>
      </c>
      <c r="D77" s="16" t="s">
        <v>269</v>
      </c>
      <c r="E77" s="69">
        <v>7</v>
      </c>
      <c r="F77" s="16">
        <v>2</v>
      </c>
      <c r="G77" s="70">
        <f t="shared" si="8"/>
        <v>14</v>
      </c>
      <c r="H77" s="70">
        <f t="shared" si="9"/>
        <v>1.16</v>
      </c>
    </row>
    <row r="78" ht="45" spans="1:8">
      <c r="A78" s="67">
        <v>14</v>
      </c>
      <c r="B78" s="16" t="s">
        <v>304</v>
      </c>
      <c r="C78" s="68" t="s">
        <v>305</v>
      </c>
      <c r="D78" s="16" t="s">
        <v>269</v>
      </c>
      <c r="E78" s="69">
        <v>1.57</v>
      </c>
      <c r="F78" s="16">
        <v>4</v>
      </c>
      <c r="G78" s="70">
        <f t="shared" si="8"/>
        <v>6.28</v>
      </c>
      <c r="H78" s="70">
        <f t="shared" si="9"/>
        <v>0.52</v>
      </c>
    </row>
    <row r="79" ht="30" spans="1:8">
      <c r="A79" s="67">
        <v>15</v>
      </c>
      <c r="B79" s="16" t="s">
        <v>306</v>
      </c>
      <c r="C79" s="68" t="s">
        <v>307</v>
      </c>
      <c r="D79" s="16" t="s">
        <v>269</v>
      </c>
      <c r="E79" s="69">
        <v>28</v>
      </c>
      <c r="F79" s="16">
        <v>4</v>
      </c>
      <c r="G79" s="70">
        <f t="shared" si="8"/>
        <v>112</v>
      </c>
      <c r="H79" s="70">
        <f t="shared" si="9"/>
        <v>9.33</v>
      </c>
    </row>
    <row r="80" ht="105" spans="1:8">
      <c r="A80" s="67">
        <v>16</v>
      </c>
      <c r="B80" s="67" t="s">
        <v>308</v>
      </c>
      <c r="C80" s="68" t="s">
        <v>309</v>
      </c>
      <c r="D80" s="16" t="s">
        <v>269</v>
      </c>
      <c r="E80" s="69">
        <v>3.55</v>
      </c>
      <c r="F80" s="16">
        <v>12</v>
      </c>
      <c r="G80" s="70">
        <f t="shared" si="8"/>
        <v>42.6</v>
      </c>
      <c r="H80" s="70">
        <f t="shared" si="9"/>
        <v>3.55</v>
      </c>
    </row>
    <row r="81" spans="1:8">
      <c r="A81" s="11" t="s">
        <v>190</v>
      </c>
      <c r="B81" s="11"/>
      <c r="C81" s="11"/>
      <c r="D81" s="11"/>
      <c r="E81" s="11"/>
      <c r="F81" s="11"/>
      <c r="G81" s="78">
        <f>TRUNC(SUM(H65:H80),2)</f>
        <v>100.5</v>
      </c>
      <c r="H81" s="78"/>
    </row>
    <row r="101" spans="1:8">
      <c r="A101" s="60" t="s">
        <v>287</v>
      </c>
      <c r="B101" s="61"/>
      <c r="C101" s="60"/>
      <c r="D101" s="62"/>
      <c r="E101" s="60"/>
      <c r="F101" s="60"/>
      <c r="G101" s="60"/>
      <c r="H101" s="60"/>
    </row>
    <row r="102" spans="1:8">
      <c r="A102" s="63" t="s">
        <v>316</v>
      </c>
      <c r="B102" s="64"/>
      <c r="C102" s="63"/>
      <c r="D102" s="65"/>
      <c r="E102" s="63"/>
      <c r="F102" s="63"/>
      <c r="G102" s="63"/>
      <c r="H102" s="63"/>
    </row>
    <row r="103" ht="60" spans="1:8">
      <c r="A103" s="66" t="s">
        <v>259</v>
      </c>
      <c r="B103" s="66" t="s">
        <v>260</v>
      </c>
      <c r="C103" s="66" t="s">
        <v>261</v>
      </c>
      <c r="D103" s="66" t="s">
        <v>262</v>
      </c>
      <c r="E103" s="66" t="s">
        <v>263</v>
      </c>
      <c r="F103" s="66" t="s">
        <v>264</v>
      </c>
      <c r="G103" s="66" t="s">
        <v>265</v>
      </c>
      <c r="H103" s="66" t="s">
        <v>266</v>
      </c>
    </row>
    <row r="104" ht="60" spans="1:8">
      <c r="A104" s="67">
        <v>1</v>
      </c>
      <c r="B104" s="16" t="s">
        <v>267</v>
      </c>
      <c r="C104" s="68" t="s">
        <v>311</v>
      </c>
      <c r="D104" s="16" t="s">
        <v>269</v>
      </c>
      <c r="E104" s="69">
        <v>48.68</v>
      </c>
      <c r="F104" s="16">
        <v>4</v>
      </c>
      <c r="G104" s="70">
        <f>TRUNC(F104*E104,2)</f>
        <v>194.72</v>
      </c>
      <c r="H104" s="70">
        <f>TRUNC(G104/12,2)</f>
        <v>16.22</v>
      </c>
    </row>
    <row r="105" ht="60" spans="1:8">
      <c r="A105" s="67">
        <v>2</v>
      </c>
      <c r="B105" s="16" t="s">
        <v>272</v>
      </c>
      <c r="C105" s="68" t="s">
        <v>312</v>
      </c>
      <c r="D105" s="16" t="s">
        <v>269</v>
      </c>
      <c r="E105" s="69">
        <v>28.63</v>
      </c>
      <c r="F105" s="16">
        <v>4</v>
      </c>
      <c r="G105" s="70">
        <f t="shared" ref="G105:G119" si="10">TRUNC(F105*E105,2)</f>
        <v>114.52</v>
      </c>
      <c r="H105" s="70">
        <f t="shared" ref="H105:H119" si="11">TRUNC(G105/12,2)</f>
        <v>9.54</v>
      </c>
    </row>
    <row r="106" ht="60" spans="1:8">
      <c r="A106" s="67">
        <v>3</v>
      </c>
      <c r="B106" s="16" t="s">
        <v>272</v>
      </c>
      <c r="C106" s="68" t="s">
        <v>274</v>
      </c>
      <c r="D106" s="16" t="s">
        <v>269</v>
      </c>
      <c r="E106" s="69">
        <v>25.17</v>
      </c>
      <c r="F106" s="16">
        <v>4</v>
      </c>
      <c r="G106" s="70">
        <f t="shared" si="10"/>
        <v>100.68</v>
      </c>
      <c r="H106" s="70">
        <f t="shared" si="11"/>
        <v>8.39</v>
      </c>
    </row>
    <row r="107" ht="30" spans="1:8">
      <c r="A107" s="67">
        <v>4</v>
      </c>
      <c r="B107" s="71" t="s">
        <v>291</v>
      </c>
      <c r="C107" s="68" t="s">
        <v>292</v>
      </c>
      <c r="D107" s="16" t="s">
        <v>269</v>
      </c>
      <c r="E107" s="69">
        <v>23.32</v>
      </c>
      <c r="F107" s="16">
        <v>2</v>
      </c>
      <c r="G107" s="70">
        <f t="shared" si="10"/>
        <v>46.64</v>
      </c>
      <c r="H107" s="70">
        <f t="shared" si="11"/>
        <v>3.88</v>
      </c>
    </row>
    <row r="108" ht="90" spans="1:8">
      <c r="A108" s="67">
        <v>5</v>
      </c>
      <c r="B108" s="71" t="s">
        <v>285</v>
      </c>
      <c r="C108" s="68" t="s">
        <v>286</v>
      </c>
      <c r="D108" s="16" t="s">
        <v>277</v>
      </c>
      <c r="E108" s="69">
        <v>49.76</v>
      </c>
      <c r="F108" s="16">
        <v>2</v>
      </c>
      <c r="G108" s="70">
        <f t="shared" si="10"/>
        <v>99.52</v>
      </c>
      <c r="H108" s="70">
        <f t="shared" si="11"/>
        <v>8.29</v>
      </c>
    </row>
    <row r="109" ht="60" spans="1:8">
      <c r="A109" s="67">
        <v>6</v>
      </c>
      <c r="B109" s="16" t="s">
        <v>275</v>
      </c>
      <c r="C109" s="68" t="s">
        <v>313</v>
      </c>
      <c r="D109" s="16" t="s">
        <v>277</v>
      </c>
      <c r="E109" s="69">
        <v>49.23</v>
      </c>
      <c r="F109" s="16">
        <v>2</v>
      </c>
      <c r="G109" s="70">
        <f t="shared" si="10"/>
        <v>98.46</v>
      </c>
      <c r="H109" s="70">
        <f t="shared" si="11"/>
        <v>8.2</v>
      </c>
    </row>
    <row r="110" ht="105" spans="1:8">
      <c r="A110" s="67">
        <v>7</v>
      </c>
      <c r="B110" s="16" t="s">
        <v>275</v>
      </c>
      <c r="C110" s="68" t="s">
        <v>314</v>
      </c>
      <c r="D110" s="16" t="s">
        <v>277</v>
      </c>
      <c r="E110" s="69">
        <v>64.33</v>
      </c>
      <c r="F110" s="16">
        <v>1</v>
      </c>
      <c r="G110" s="70">
        <f t="shared" si="10"/>
        <v>64.33</v>
      </c>
      <c r="H110" s="70">
        <f t="shared" si="11"/>
        <v>5.36</v>
      </c>
    </row>
    <row r="111" ht="45" spans="1:8">
      <c r="A111" s="67">
        <v>8</v>
      </c>
      <c r="B111" s="16" t="s">
        <v>278</v>
      </c>
      <c r="C111" s="68" t="s">
        <v>279</v>
      </c>
      <c r="D111" s="16" t="s">
        <v>277</v>
      </c>
      <c r="E111" s="69">
        <v>6.83</v>
      </c>
      <c r="F111" s="16">
        <v>4</v>
      </c>
      <c r="G111" s="70">
        <f t="shared" si="10"/>
        <v>27.32</v>
      </c>
      <c r="H111" s="70">
        <f t="shared" si="11"/>
        <v>2.27</v>
      </c>
    </row>
    <row r="112" ht="45" spans="1:8">
      <c r="A112" s="67">
        <v>9</v>
      </c>
      <c r="B112" s="16" t="s">
        <v>280</v>
      </c>
      <c r="C112" s="68" t="s">
        <v>281</v>
      </c>
      <c r="D112" s="16" t="s">
        <v>269</v>
      </c>
      <c r="E112" s="69">
        <v>5.02</v>
      </c>
      <c r="F112" s="16">
        <v>1</v>
      </c>
      <c r="G112" s="70">
        <f t="shared" si="10"/>
        <v>5.02</v>
      </c>
      <c r="H112" s="70">
        <f t="shared" si="11"/>
        <v>0.41</v>
      </c>
    </row>
    <row r="113" ht="60" spans="1:8">
      <c r="A113" s="67">
        <v>10</v>
      </c>
      <c r="B113" s="16" t="s">
        <v>294</v>
      </c>
      <c r="C113" s="68" t="s">
        <v>315</v>
      </c>
      <c r="D113" s="16" t="s">
        <v>269</v>
      </c>
      <c r="E113" s="69">
        <v>157.75</v>
      </c>
      <c r="F113" s="16">
        <v>1</v>
      </c>
      <c r="G113" s="70">
        <f t="shared" si="10"/>
        <v>157.75</v>
      </c>
      <c r="H113" s="70">
        <f t="shared" si="11"/>
        <v>13.14</v>
      </c>
    </row>
    <row r="114" ht="60" spans="1:8">
      <c r="A114" s="67">
        <v>11</v>
      </c>
      <c r="B114" s="16" t="s">
        <v>296</v>
      </c>
      <c r="C114" s="68" t="s">
        <v>297</v>
      </c>
      <c r="D114" s="16" t="s">
        <v>298</v>
      </c>
      <c r="E114" s="69">
        <v>335.21</v>
      </c>
      <c r="F114" s="16">
        <v>1</v>
      </c>
      <c r="G114" s="70">
        <f t="shared" si="10"/>
        <v>335.21</v>
      </c>
      <c r="H114" s="70">
        <f t="shared" si="11"/>
        <v>27.93</v>
      </c>
    </row>
    <row r="115" ht="60" spans="1:8">
      <c r="A115" s="67">
        <v>12</v>
      </c>
      <c r="B115" s="16" t="s">
        <v>299</v>
      </c>
      <c r="C115" s="68" t="s">
        <v>301</v>
      </c>
      <c r="D115" s="16" t="s">
        <v>277</v>
      </c>
      <c r="E115" s="69">
        <v>2.63</v>
      </c>
      <c r="F115" s="16">
        <v>6</v>
      </c>
      <c r="G115" s="70">
        <f t="shared" si="10"/>
        <v>15.78</v>
      </c>
      <c r="H115" s="70">
        <f t="shared" si="11"/>
        <v>1.31</v>
      </c>
    </row>
    <row r="116" ht="75" spans="1:8">
      <c r="A116" s="67">
        <v>13</v>
      </c>
      <c r="B116" s="16" t="s">
        <v>302</v>
      </c>
      <c r="C116" s="68" t="s">
        <v>303</v>
      </c>
      <c r="D116" s="16" t="s">
        <v>269</v>
      </c>
      <c r="E116" s="69">
        <v>6.22</v>
      </c>
      <c r="F116" s="16">
        <v>2</v>
      </c>
      <c r="G116" s="70">
        <f t="shared" si="10"/>
        <v>12.44</v>
      </c>
      <c r="H116" s="70">
        <f t="shared" si="11"/>
        <v>1.03</v>
      </c>
    </row>
    <row r="117" ht="45" spans="1:8">
      <c r="A117" s="67">
        <v>14</v>
      </c>
      <c r="B117" s="16" t="s">
        <v>304</v>
      </c>
      <c r="C117" s="68" t="s">
        <v>305</v>
      </c>
      <c r="D117" s="16" t="s">
        <v>269</v>
      </c>
      <c r="E117" s="69">
        <v>1.19</v>
      </c>
      <c r="F117" s="16">
        <v>4</v>
      </c>
      <c r="G117" s="70">
        <f t="shared" si="10"/>
        <v>4.76</v>
      </c>
      <c r="H117" s="70">
        <f t="shared" si="11"/>
        <v>0.39</v>
      </c>
    </row>
    <row r="118" ht="30" spans="1:8">
      <c r="A118" s="67">
        <v>15</v>
      </c>
      <c r="B118" s="16" t="s">
        <v>306</v>
      </c>
      <c r="C118" s="68" t="s">
        <v>307</v>
      </c>
      <c r="D118" s="16" t="s">
        <v>269</v>
      </c>
      <c r="E118" s="69">
        <v>8.46</v>
      </c>
      <c r="F118" s="16">
        <v>4</v>
      </c>
      <c r="G118" s="70">
        <f t="shared" si="10"/>
        <v>33.84</v>
      </c>
      <c r="H118" s="70">
        <f t="shared" si="11"/>
        <v>2.82</v>
      </c>
    </row>
    <row r="119" ht="105" spans="1:8">
      <c r="A119" s="67">
        <v>16</v>
      </c>
      <c r="B119" s="67" t="s">
        <v>308</v>
      </c>
      <c r="C119" s="68" t="s">
        <v>309</v>
      </c>
      <c r="D119" s="16" t="s">
        <v>269</v>
      </c>
      <c r="E119" s="69">
        <v>1.13</v>
      </c>
      <c r="F119" s="16">
        <v>12</v>
      </c>
      <c r="G119" s="70">
        <f t="shared" si="10"/>
        <v>13.56</v>
      </c>
      <c r="H119" s="70">
        <f t="shared" si="11"/>
        <v>1.13</v>
      </c>
    </row>
    <row r="120" spans="1:8">
      <c r="A120" s="18" t="s">
        <v>190</v>
      </c>
      <c r="B120" s="18"/>
      <c r="C120" s="18"/>
      <c r="D120" s="18"/>
      <c r="E120" s="18"/>
      <c r="F120" s="18"/>
      <c r="G120" s="19">
        <f>TRUNC(SUM(H104:H119),2)</f>
        <v>110.31</v>
      </c>
      <c r="H120" s="19"/>
    </row>
    <row r="123" spans="1:8">
      <c r="A123" s="60" t="s">
        <v>287</v>
      </c>
      <c r="B123" s="61"/>
      <c r="C123" s="60"/>
      <c r="D123" s="62"/>
      <c r="E123" s="60"/>
      <c r="F123" s="60"/>
      <c r="G123" s="60"/>
      <c r="H123" s="60"/>
    </row>
    <row r="124" spans="1:8">
      <c r="A124" s="63" t="s">
        <v>288</v>
      </c>
      <c r="B124" s="64"/>
      <c r="C124" s="63"/>
      <c r="D124" s="65"/>
      <c r="E124" s="63"/>
      <c r="F124" s="63"/>
      <c r="G124" s="63"/>
      <c r="H124" s="63"/>
    </row>
    <row r="125" ht="60" spans="1:8">
      <c r="A125" s="66" t="s">
        <v>259</v>
      </c>
      <c r="B125" s="66" t="s">
        <v>260</v>
      </c>
      <c r="C125" s="66" t="s">
        <v>261</v>
      </c>
      <c r="D125" s="66" t="s">
        <v>262</v>
      </c>
      <c r="E125" s="66" t="s">
        <v>263</v>
      </c>
      <c r="F125" s="66" t="s">
        <v>264</v>
      </c>
      <c r="G125" s="66" t="s">
        <v>265</v>
      </c>
      <c r="H125" s="66" t="s">
        <v>266</v>
      </c>
    </row>
    <row r="126" ht="75" spans="1:8">
      <c r="A126" s="67">
        <v>1</v>
      </c>
      <c r="B126" s="16" t="s">
        <v>267</v>
      </c>
      <c r="C126" s="72" t="s">
        <v>289</v>
      </c>
      <c r="D126" s="16" t="s">
        <v>269</v>
      </c>
      <c r="E126" s="69">
        <v>48.68</v>
      </c>
      <c r="F126" s="16">
        <v>4</v>
      </c>
      <c r="G126" s="70">
        <f>TRUNC(F126*E126,2)</f>
        <v>194.72</v>
      </c>
      <c r="H126" s="70">
        <f>TRUNC(G126/12,2)</f>
        <v>16.22</v>
      </c>
    </row>
    <row r="127" ht="90" spans="1:8">
      <c r="A127" s="67">
        <v>2</v>
      </c>
      <c r="B127" s="16" t="s">
        <v>272</v>
      </c>
      <c r="C127" s="72" t="s">
        <v>290</v>
      </c>
      <c r="D127" s="16" t="s">
        <v>269</v>
      </c>
      <c r="E127" s="69">
        <v>113.73</v>
      </c>
      <c r="F127" s="16">
        <v>4</v>
      </c>
      <c r="G127" s="70">
        <f t="shared" ref="G127:G141" si="12">TRUNC(F127*E127,2)</f>
        <v>454.92</v>
      </c>
      <c r="H127" s="70">
        <f t="shared" ref="H127:H141" si="13">TRUNC(G127/12,2)</f>
        <v>37.91</v>
      </c>
    </row>
    <row r="128" ht="60" spans="1:8">
      <c r="A128" s="67">
        <v>3</v>
      </c>
      <c r="B128" s="16" t="s">
        <v>272</v>
      </c>
      <c r="C128" s="73" t="s">
        <v>274</v>
      </c>
      <c r="D128" s="16" t="s">
        <v>269</v>
      </c>
      <c r="E128" s="69">
        <v>25.17</v>
      </c>
      <c r="F128" s="16">
        <v>4</v>
      </c>
      <c r="G128" s="70">
        <f t="shared" si="12"/>
        <v>100.68</v>
      </c>
      <c r="H128" s="70">
        <f t="shared" si="13"/>
        <v>8.39</v>
      </c>
    </row>
    <row r="129" ht="30" spans="1:8">
      <c r="A129" s="67">
        <v>4</v>
      </c>
      <c r="B129" s="71" t="s">
        <v>291</v>
      </c>
      <c r="C129" s="72" t="s">
        <v>292</v>
      </c>
      <c r="D129" s="16" t="s">
        <v>269</v>
      </c>
      <c r="E129" s="69">
        <v>23.32</v>
      </c>
      <c r="F129" s="16">
        <v>2</v>
      </c>
      <c r="G129" s="70">
        <f t="shared" si="12"/>
        <v>46.64</v>
      </c>
      <c r="H129" s="70">
        <f t="shared" si="13"/>
        <v>3.88</v>
      </c>
    </row>
    <row r="130" ht="90" spans="1:8">
      <c r="A130" s="67">
        <v>5</v>
      </c>
      <c r="B130" s="71" t="s">
        <v>285</v>
      </c>
      <c r="C130" s="72" t="s">
        <v>286</v>
      </c>
      <c r="D130" s="16" t="s">
        <v>277</v>
      </c>
      <c r="E130" s="69">
        <v>49.76</v>
      </c>
      <c r="F130" s="16">
        <v>2</v>
      </c>
      <c r="G130" s="70">
        <f t="shared" si="12"/>
        <v>99.52</v>
      </c>
      <c r="H130" s="70">
        <f t="shared" si="13"/>
        <v>8.29</v>
      </c>
    </row>
    <row r="131" ht="105" spans="1:8">
      <c r="A131" s="67">
        <v>6</v>
      </c>
      <c r="B131" s="16" t="s">
        <v>275</v>
      </c>
      <c r="C131" s="72" t="s">
        <v>293</v>
      </c>
      <c r="D131" s="16" t="s">
        <v>277</v>
      </c>
      <c r="E131" s="69">
        <v>77.33</v>
      </c>
      <c r="F131" s="16">
        <v>2</v>
      </c>
      <c r="G131" s="70">
        <f t="shared" si="12"/>
        <v>154.66</v>
      </c>
      <c r="H131" s="70">
        <f t="shared" si="13"/>
        <v>12.88</v>
      </c>
    </row>
    <row r="132" ht="45" spans="1:8">
      <c r="A132" s="67">
        <v>7</v>
      </c>
      <c r="B132" s="16" t="s">
        <v>278</v>
      </c>
      <c r="C132" s="72" t="s">
        <v>279</v>
      </c>
      <c r="D132" s="16" t="s">
        <v>277</v>
      </c>
      <c r="E132" s="69">
        <v>6.83</v>
      </c>
      <c r="F132" s="16">
        <v>4</v>
      </c>
      <c r="G132" s="70">
        <f t="shared" si="12"/>
        <v>27.32</v>
      </c>
      <c r="H132" s="70">
        <f t="shared" si="13"/>
        <v>2.27</v>
      </c>
    </row>
    <row r="133" ht="45" spans="1:8">
      <c r="A133" s="67">
        <v>8</v>
      </c>
      <c r="B133" s="16" t="s">
        <v>280</v>
      </c>
      <c r="C133" s="72" t="s">
        <v>281</v>
      </c>
      <c r="D133" s="16" t="s">
        <v>269</v>
      </c>
      <c r="E133" s="69">
        <v>5.02</v>
      </c>
      <c r="F133" s="16">
        <v>1</v>
      </c>
      <c r="G133" s="70">
        <f t="shared" si="12"/>
        <v>5.02</v>
      </c>
      <c r="H133" s="70">
        <f t="shared" si="13"/>
        <v>0.41</v>
      </c>
    </row>
    <row r="134" ht="120" spans="1:8">
      <c r="A134" s="67">
        <v>9</v>
      </c>
      <c r="B134" s="16" t="s">
        <v>294</v>
      </c>
      <c r="C134" s="72" t="s">
        <v>295</v>
      </c>
      <c r="D134" s="16" t="s">
        <v>269</v>
      </c>
      <c r="E134" s="69">
        <v>14.29</v>
      </c>
      <c r="F134" s="16">
        <v>1</v>
      </c>
      <c r="G134" s="70">
        <f t="shared" si="12"/>
        <v>14.29</v>
      </c>
      <c r="H134" s="70">
        <f t="shared" si="13"/>
        <v>1.19</v>
      </c>
    </row>
    <row r="135" ht="60" spans="1:8">
      <c r="A135" s="67">
        <v>10</v>
      </c>
      <c r="B135" s="16" t="s">
        <v>296</v>
      </c>
      <c r="C135" s="72" t="s">
        <v>297</v>
      </c>
      <c r="D135" s="16" t="s">
        <v>298</v>
      </c>
      <c r="E135" s="69">
        <v>335.21</v>
      </c>
      <c r="F135" s="16">
        <v>1</v>
      </c>
      <c r="G135" s="70">
        <f t="shared" si="12"/>
        <v>335.21</v>
      </c>
      <c r="H135" s="70">
        <f t="shared" si="13"/>
        <v>27.93</v>
      </c>
    </row>
    <row r="136" ht="45" spans="1:8">
      <c r="A136" s="67">
        <v>11</v>
      </c>
      <c r="B136" s="16" t="s">
        <v>299</v>
      </c>
      <c r="C136" s="72" t="s">
        <v>300</v>
      </c>
      <c r="D136" s="16" t="s">
        <v>277</v>
      </c>
      <c r="E136" s="69">
        <v>366.5</v>
      </c>
      <c r="F136" s="16">
        <v>1</v>
      </c>
      <c r="G136" s="70">
        <f t="shared" si="12"/>
        <v>366.5</v>
      </c>
      <c r="H136" s="70">
        <f t="shared" si="13"/>
        <v>30.54</v>
      </c>
    </row>
    <row r="137" ht="60" spans="1:8">
      <c r="A137" s="67">
        <v>12</v>
      </c>
      <c r="B137" s="16" t="s">
        <v>299</v>
      </c>
      <c r="C137" s="72" t="s">
        <v>301</v>
      </c>
      <c r="D137" s="16" t="s">
        <v>277</v>
      </c>
      <c r="E137" s="69">
        <v>2.63</v>
      </c>
      <c r="F137" s="16">
        <v>6</v>
      </c>
      <c r="G137" s="70">
        <f t="shared" si="12"/>
        <v>15.78</v>
      </c>
      <c r="H137" s="70">
        <f t="shared" si="13"/>
        <v>1.31</v>
      </c>
    </row>
    <row r="138" ht="75" spans="1:8">
      <c r="A138" s="67">
        <v>13</v>
      </c>
      <c r="B138" s="16" t="s">
        <v>302</v>
      </c>
      <c r="C138" s="72" t="s">
        <v>303</v>
      </c>
      <c r="D138" s="16" t="s">
        <v>269</v>
      </c>
      <c r="E138" s="69">
        <v>6.22</v>
      </c>
      <c r="F138" s="16">
        <v>2</v>
      </c>
      <c r="G138" s="70">
        <f t="shared" si="12"/>
        <v>12.44</v>
      </c>
      <c r="H138" s="70">
        <f t="shared" si="13"/>
        <v>1.03</v>
      </c>
    </row>
    <row r="139" ht="45" spans="1:8">
      <c r="A139" s="67">
        <v>14</v>
      </c>
      <c r="B139" s="16" t="s">
        <v>304</v>
      </c>
      <c r="C139" s="72" t="s">
        <v>305</v>
      </c>
      <c r="D139" s="16" t="s">
        <v>269</v>
      </c>
      <c r="E139" s="69">
        <v>1.19</v>
      </c>
      <c r="F139" s="16">
        <v>4</v>
      </c>
      <c r="G139" s="70">
        <f t="shared" si="12"/>
        <v>4.76</v>
      </c>
      <c r="H139" s="70">
        <f t="shared" si="13"/>
        <v>0.39</v>
      </c>
    </row>
    <row r="140" ht="30" spans="1:8">
      <c r="A140" s="67">
        <v>15</v>
      </c>
      <c r="B140" s="16" t="s">
        <v>306</v>
      </c>
      <c r="C140" s="72" t="s">
        <v>307</v>
      </c>
      <c r="D140" s="16" t="s">
        <v>269</v>
      </c>
      <c r="E140" s="69">
        <v>8.46</v>
      </c>
      <c r="F140" s="16">
        <v>4</v>
      </c>
      <c r="G140" s="70">
        <f t="shared" si="12"/>
        <v>33.84</v>
      </c>
      <c r="H140" s="70">
        <f t="shared" si="13"/>
        <v>2.82</v>
      </c>
    </row>
    <row r="141" ht="105" spans="1:8">
      <c r="A141" s="67">
        <v>16</v>
      </c>
      <c r="B141" s="16" t="s">
        <v>308</v>
      </c>
      <c r="C141" s="72" t="s">
        <v>309</v>
      </c>
      <c r="D141" s="16" t="s">
        <v>269</v>
      </c>
      <c r="E141" s="69">
        <v>1.13</v>
      </c>
      <c r="F141" s="16">
        <v>12</v>
      </c>
      <c r="G141" s="70">
        <f t="shared" si="12"/>
        <v>13.56</v>
      </c>
      <c r="H141" s="70">
        <f t="shared" si="13"/>
        <v>1.13</v>
      </c>
    </row>
    <row r="142" spans="1:8">
      <c r="A142" s="18" t="s">
        <v>190</v>
      </c>
      <c r="B142" s="18"/>
      <c r="C142" s="18"/>
      <c r="D142" s="18"/>
      <c r="E142" s="18"/>
      <c r="F142" s="18"/>
      <c r="G142" s="19">
        <f>TRUNC(SUM(H126:H141),2)</f>
        <v>156.59</v>
      </c>
      <c r="H142" s="19"/>
    </row>
    <row r="145" spans="1:8">
      <c r="A145" s="79" t="s">
        <v>287</v>
      </c>
      <c r="B145" s="80"/>
      <c r="C145" s="79"/>
      <c r="D145" s="81"/>
      <c r="E145" s="79"/>
      <c r="F145" s="79"/>
      <c r="G145" s="79"/>
      <c r="H145" s="79"/>
    </row>
    <row r="146" spans="1:8">
      <c r="A146" s="82" t="s">
        <v>317</v>
      </c>
      <c r="B146" s="83"/>
      <c r="C146" s="82"/>
      <c r="D146" s="84"/>
      <c r="E146" s="82"/>
      <c r="F146" s="82"/>
      <c r="G146" s="82"/>
      <c r="H146" s="82"/>
    </row>
    <row r="147" ht="60" spans="1:8">
      <c r="A147" s="85" t="s">
        <v>259</v>
      </c>
      <c r="B147" s="85" t="s">
        <v>260</v>
      </c>
      <c r="C147" s="85" t="s">
        <v>261</v>
      </c>
      <c r="D147" s="85" t="s">
        <v>262</v>
      </c>
      <c r="E147" s="85" t="s">
        <v>263</v>
      </c>
      <c r="F147" s="85" t="s">
        <v>264</v>
      </c>
      <c r="G147" s="85" t="s">
        <v>265</v>
      </c>
      <c r="H147" s="85" t="s">
        <v>266</v>
      </c>
    </row>
    <row r="148" ht="60" spans="1:8">
      <c r="A148" s="86">
        <v>1</v>
      </c>
      <c r="B148" s="87" t="s">
        <v>267</v>
      </c>
      <c r="C148" s="88" t="s">
        <v>311</v>
      </c>
      <c r="D148" s="87" t="s">
        <v>269</v>
      </c>
      <c r="E148" s="89">
        <v>48.68</v>
      </c>
      <c r="F148" s="87">
        <v>4</v>
      </c>
      <c r="G148" s="90">
        <f>TRUNC(F148*E148,2)</f>
        <v>194.72</v>
      </c>
      <c r="H148" s="90">
        <f>TRUNC(G148/12,2)</f>
        <v>16.22</v>
      </c>
    </row>
    <row r="149" ht="60" spans="1:8">
      <c r="A149" s="86">
        <v>2</v>
      </c>
      <c r="B149" s="87" t="s">
        <v>272</v>
      </c>
      <c r="C149" s="88" t="s">
        <v>312</v>
      </c>
      <c r="D149" s="87" t="s">
        <v>269</v>
      </c>
      <c r="E149" s="89">
        <v>28.63</v>
      </c>
      <c r="F149" s="87">
        <v>4</v>
      </c>
      <c r="G149" s="90">
        <f t="shared" ref="G149:G162" si="14">TRUNC(F149*E149,2)</f>
        <v>114.52</v>
      </c>
      <c r="H149" s="90">
        <f t="shared" ref="H149:H162" si="15">TRUNC(G149/12,2)</f>
        <v>9.54</v>
      </c>
    </row>
    <row r="150" ht="60" spans="1:8">
      <c r="A150" s="86">
        <v>3</v>
      </c>
      <c r="B150" s="87" t="s">
        <v>272</v>
      </c>
      <c r="C150" s="91" t="s">
        <v>274</v>
      </c>
      <c r="D150" s="87" t="s">
        <v>269</v>
      </c>
      <c r="E150" s="89">
        <v>25.17</v>
      </c>
      <c r="F150" s="87">
        <v>4</v>
      </c>
      <c r="G150" s="90">
        <f t="shared" si="14"/>
        <v>100.68</v>
      </c>
      <c r="H150" s="90">
        <f t="shared" si="15"/>
        <v>8.39</v>
      </c>
    </row>
    <row r="151" ht="30" spans="1:8">
      <c r="A151" s="86">
        <v>4</v>
      </c>
      <c r="B151" s="92" t="s">
        <v>291</v>
      </c>
      <c r="C151" s="88" t="s">
        <v>292</v>
      </c>
      <c r="D151" s="87" t="s">
        <v>269</v>
      </c>
      <c r="E151" s="89">
        <v>23.32</v>
      </c>
      <c r="F151" s="87">
        <v>2</v>
      </c>
      <c r="G151" s="90">
        <f t="shared" si="14"/>
        <v>46.64</v>
      </c>
      <c r="H151" s="90">
        <f t="shared" si="15"/>
        <v>3.88</v>
      </c>
    </row>
    <row r="152" ht="90" spans="1:8">
      <c r="A152" s="86">
        <v>5</v>
      </c>
      <c r="B152" s="92" t="s">
        <v>285</v>
      </c>
      <c r="C152" s="88" t="s">
        <v>286</v>
      </c>
      <c r="D152" s="87" t="s">
        <v>277</v>
      </c>
      <c r="E152" s="89">
        <v>49.76</v>
      </c>
      <c r="F152" s="87">
        <v>2</v>
      </c>
      <c r="G152" s="90">
        <f t="shared" si="14"/>
        <v>99.52</v>
      </c>
      <c r="H152" s="90">
        <f t="shared" si="15"/>
        <v>8.29</v>
      </c>
    </row>
    <row r="153" ht="60" spans="1:8">
      <c r="A153" s="86">
        <v>6</v>
      </c>
      <c r="B153" s="87" t="s">
        <v>275</v>
      </c>
      <c r="C153" s="88" t="s">
        <v>318</v>
      </c>
      <c r="D153" s="87" t="s">
        <v>277</v>
      </c>
      <c r="E153" s="89">
        <v>49.23</v>
      </c>
      <c r="F153" s="87">
        <v>2</v>
      </c>
      <c r="G153" s="90">
        <f t="shared" si="14"/>
        <v>98.46</v>
      </c>
      <c r="H153" s="90">
        <f t="shared" si="15"/>
        <v>8.2</v>
      </c>
    </row>
    <row r="154" ht="45" spans="1:8">
      <c r="A154" s="86">
        <v>7</v>
      </c>
      <c r="B154" s="87" t="s">
        <v>278</v>
      </c>
      <c r="C154" s="88" t="s">
        <v>279</v>
      </c>
      <c r="D154" s="87" t="s">
        <v>277</v>
      </c>
      <c r="E154" s="89">
        <v>6.83</v>
      </c>
      <c r="F154" s="87">
        <v>4</v>
      </c>
      <c r="G154" s="90">
        <f t="shared" si="14"/>
        <v>27.32</v>
      </c>
      <c r="H154" s="90">
        <f t="shared" si="15"/>
        <v>2.27</v>
      </c>
    </row>
    <row r="155" ht="45" spans="1:8">
      <c r="A155" s="86">
        <v>8</v>
      </c>
      <c r="B155" s="87" t="s">
        <v>280</v>
      </c>
      <c r="C155" s="88" t="s">
        <v>281</v>
      </c>
      <c r="D155" s="87" t="s">
        <v>269</v>
      </c>
      <c r="E155" s="89">
        <v>5.02</v>
      </c>
      <c r="F155" s="87">
        <v>1</v>
      </c>
      <c r="G155" s="90">
        <f t="shared" si="14"/>
        <v>5.02</v>
      </c>
      <c r="H155" s="90">
        <f t="shared" si="15"/>
        <v>0.41</v>
      </c>
    </row>
    <row r="156" ht="60" spans="1:8">
      <c r="A156" s="86">
        <v>9</v>
      </c>
      <c r="B156" s="87" t="s">
        <v>294</v>
      </c>
      <c r="C156" s="88" t="s">
        <v>315</v>
      </c>
      <c r="D156" s="87" t="s">
        <v>269</v>
      </c>
      <c r="E156" s="89">
        <v>157.75</v>
      </c>
      <c r="F156" s="87">
        <v>1</v>
      </c>
      <c r="G156" s="90">
        <f t="shared" si="14"/>
        <v>157.75</v>
      </c>
      <c r="H156" s="90">
        <f t="shared" si="15"/>
        <v>13.14</v>
      </c>
    </row>
    <row r="157" ht="60" spans="1:8">
      <c r="A157" s="86">
        <v>10</v>
      </c>
      <c r="B157" s="87" t="s">
        <v>296</v>
      </c>
      <c r="C157" s="88" t="s">
        <v>297</v>
      </c>
      <c r="D157" s="87" t="s">
        <v>298</v>
      </c>
      <c r="E157" s="89">
        <v>335.21</v>
      </c>
      <c r="F157" s="87">
        <v>1</v>
      </c>
      <c r="G157" s="90">
        <f t="shared" si="14"/>
        <v>335.21</v>
      </c>
      <c r="H157" s="90">
        <f t="shared" si="15"/>
        <v>27.93</v>
      </c>
    </row>
    <row r="158" ht="60" spans="1:8">
      <c r="A158" s="86">
        <v>11</v>
      </c>
      <c r="B158" s="87" t="s">
        <v>299</v>
      </c>
      <c r="C158" s="88" t="s">
        <v>301</v>
      </c>
      <c r="D158" s="87" t="s">
        <v>277</v>
      </c>
      <c r="E158" s="89">
        <v>2.63</v>
      </c>
      <c r="F158" s="87">
        <v>6</v>
      </c>
      <c r="G158" s="90">
        <f t="shared" si="14"/>
        <v>15.78</v>
      </c>
      <c r="H158" s="90">
        <f t="shared" si="15"/>
        <v>1.31</v>
      </c>
    </row>
    <row r="159" ht="75" spans="1:8">
      <c r="A159" s="86">
        <v>12</v>
      </c>
      <c r="B159" s="87" t="s">
        <v>302</v>
      </c>
      <c r="C159" s="88" t="s">
        <v>303</v>
      </c>
      <c r="D159" s="87" t="s">
        <v>269</v>
      </c>
      <c r="E159" s="89">
        <v>6.22</v>
      </c>
      <c r="F159" s="87">
        <v>2</v>
      </c>
      <c r="G159" s="90">
        <f t="shared" si="14"/>
        <v>12.44</v>
      </c>
      <c r="H159" s="90">
        <f t="shared" si="15"/>
        <v>1.03</v>
      </c>
    </row>
    <row r="160" ht="45" spans="1:8">
      <c r="A160" s="86">
        <v>13</v>
      </c>
      <c r="B160" s="87" t="s">
        <v>304</v>
      </c>
      <c r="C160" s="88" t="s">
        <v>305</v>
      </c>
      <c r="D160" s="87" t="s">
        <v>269</v>
      </c>
      <c r="E160" s="89">
        <v>1.19</v>
      </c>
      <c r="F160" s="87">
        <v>4</v>
      </c>
      <c r="G160" s="90">
        <f t="shared" si="14"/>
        <v>4.76</v>
      </c>
      <c r="H160" s="90">
        <f t="shared" si="15"/>
        <v>0.39</v>
      </c>
    </row>
    <row r="161" ht="30" spans="1:8">
      <c r="A161" s="86">
        <v>14</v>
      </c>
      <c r="B161" s="87" t="s">
        <v>306</v>
      </c>
      <c r="C161" s="88" t="s">
        <v>307</v>
      </c>
      <c r="D161" s="87" t="s">
        <v>269</v>
      </c>
      <c r="E161" s="89">
        <v>8.46</v>
      </c>
      <c r="F161" s="87">
        <v>4</v>
      </c>
      <c r="G161" s="90">
        <f t="shared" si="14"/>
        <v>33.84</v>
      </c>
      <c r="H161" s="90">
        <f t="shared" si="15"/>
        <v>2.82</v>
      </c>
    </row>
    <row r="162" ht="105" spans="1:8">
      <c r="A162" s="86">
        <v>15</v>
      </c>
      <c r="B162" s="87" t="s">
        <v>308</v>
      </c>
      <c r="C162" s="88" t="s">
        <v>309</v>
      </c>
      <c r="D162" s="87" t="s">
        <v>269</v>
      </c>
      <c r="E162" s="89">
        <v>1.13</v>
      </c>
      <c r="F162" s="87">
        <v>12</v>
      </c>
      <c r="G162" s="90">
        <f t="shared" si="14"/>
        <v>13.56</v>
      </c>
      <c r="H162" s="90">
        <f t="shared" si="15"/>
        <v>1.13</v>
      </c>
    </row>
    <row r="163" spans="1:8">
      <c r="A163" s="93" t="s">
        <v>190</v>
      </c>
      <c r="B163" s="93"/>
      <c r="C163" s="93"/>
      <c r="D163" s="93"/>
      <c r="E163" s="93"/>
      <c r="F163" s="93"/>
      <c r="G163" s="94">
        <f>TRUNC(SUM(H148:H162),2)</f>
        <v>104.95</v>
      </c>
      <c r="H163" s="94"/>
    </row>
    <row r="164" spans="1:8">
      <c r="A164" s="95"/>
      <c r="B164" s="86"/>
      <c r="C164" s="95"/>
      <c r="D164" s="96"/>
      <c r="E164" s="95"/>
      <c r="F164" s="95"/>
      <c r="G164" s="95"/>
      <c r="H164" s="95"/>
    </row>
    <row r="165" spans="1:8">
      <c r="A165" s="79" t="s">
        <v>287</v>
      </c>
      <c r="B165" s="80"/>
      <c r="C165" s="79"/>
      <c r="D165" s="81"/>
      <c r="E165" s="79"/>
      <c r="F165" s="79"/>
      <c r="G165" s="79"/>
      <c r="H165" s="79"/>
    </row>
    <row r="166" spans="1:8">
      <c r="A166" s="82" t="s">
        <v>319</v>
      </c>
      <c r="B166" s="83"/>
      <c r="C166" s="82"/>
      <c r="D166" s="84"/>
      <c r="E166" s="82"/>
      <c r="F166" s="82"/>
      <c r="G166" s="82"/>
      <c r="H166" s="82"/>
    </row>
    <row r="167" ht="60" spans="1:8">
      <c r="A167" s="85" t="s">
        <v>259</v>
      </c>
      <c r="B167" s="85" t="s">
        <v>260</v>
      </c>
      <c r="C167" s="85" t="s">
        <v>261</v>
      </c>
      <c r="D167" s="85" t="s">
        <v>262</v>
      </c>
      <c r="E167" s="85" t="s">
        <v>263</v>
      </c>
      <c r="F167" s="85" t="s">
        <v>264</v>
      </c>
      <c r="G167" s="85" t="s">
        <v>265</v>
      </c>
      <c r="H167" s="85" t="s">
        <v>266</v>
      </c>
    </row>
    <row r="168" ht="60" spans="1:8">
      <c r="A168" s="86">
        <v>1</v>
      </c>
      <c r="B168" s="87" t="s">
        <v>267</v>
      </c>
      <c r="C168" s="88" t="s">
        <v>311</v>
      </c>
      <c r="D168" s="87" t="s">
        <v>269</v>
      </c>
      <c r="E168" s="89">
        <v>48.68</v>
      </c>
      <c r="F168" s="87">
        <v>4</v>
      </c>
      <c r="G168" s="90">
        <f>TRUNC(F168*E168,2)</f>
        <v>194.72</v>
      </c>
      <c r="H168" s="90">
        <f>TRUNC(G168/12,2)</f>
        <v>16.22</v>
      </c>
    </row>
    <row r="169" ht="60" spans="1:8">
      <c r="A169" s="86">
        <v>2</v>
      </c>
      <c r="B169" s="87" t="s">
        <v>272</v>
      </c>
      <c r="C169" s="88" t="s">
        <v>312</v>
      </c>
      <c r="D169" s="87" t="s">
        <v>269</v>
      </c>
      <c r="E169" s="89">
        <v>28.63</v>
      </c>
      <c r="F169" s="87">
        <v>4</v>
      </c>
      <c r="G169" s="90">
        <f t="shared" ref="G169:G182" si="16">TRUNC(F169*E169,2)</f>
        <v>114.52</v>
      </c>
      <c r="H169" s="90">
        <f t="shared" ref="H169:H182" si="17">TRUNC(G169/12,2)</f>
        <v>9.54</v>
      </c>
    </row>
    <row r="170" ht="60" spans="1:8">
      <c r="A170" s="86">
        <v>3</v>
      </c>
      <c r="B170" s="87" t="s">
        <v>272</v>
      </c>
      <c r="C170" s="91" t="s">
        <v>274</v>
      </c>
      <c r="D170" s="87" t="s">
        <v>269</v>
      </c>
      <c r="E170" s="89">
        <v>25.17</v>
      </c>
      <c r="F170" s="87">
        <v>4</v>
      </c>
      <c r="G170" s="90">
        <f t="shared" si="16"/>
        <v>100.68</v>
      </c>
      <c r="H170" s="90">
        <f t="shared" si="17"/>
        <v>8.39</v>
      </c>
    </row>
    <row r="171" ht="30" spans="1:8">
      <c r="A171" s="86">
        <v>4</v>
      </c>
      <c r="B171" s="92" t="s">
        <v>291</v>
      </c>
      <c r="C171" s="88" t="s">
        <v>292</v>
      </c>
      <c r="D171" s="87" t="s">
        <v>269</v>
      </c>
      <c r="E171" s="89">
        <v>23.32</v>
      </c>
      <c r="F171" s="87">
        <v>2</v>
      </c>
      <c r="G171" s="90">
        <f t="shared" si="16"/>
        <v>46.64</v>
      </c>
      <c r="H171" s="90">
        <f t="shared" si="17"/>
        <v>3.88</v>
      </c>
    </row>
    <row r="172" ht="90" spans="1:8">
      <c r="A172" s="86">
        <v>5</v>
      </c>
      <c r="B172" s="92" t="s">
        <v>285</v>
      </c>
      <c r="C172" s="88" t="s">
        <v>286</v>
      </c>
      <c r="D172" s="87" t="s">
        <v>277</v>
      </c>
      <c r="E172" s="89">
        <v>49.76</v>
      </c>
      <c r="F172" s="87">
        <v>2</v>
      </c>
      <c r="G172" s="90">
        <f t="shared" si="16"/>
        <v>99.52</v>
      </c>
      <c r="H172" s="90">
        <f t="shared" si="17"/>
        <v>8.29</v>
      </c>
    </row>
    <row r="173" ht="105" spans="1:8">
      <c r="A173" s="86">
        <v>6</v>
      </c>
      <c r="B173" s="87" t="s">
        <v>275</v>
      </c>
      <c r="C173" s="88" t="s">
        <v>293</v>
      </c>
      <c r="D173" s="87" t="s">
        <v>277</v>
      </c>
      <c r="E173" s="89">
        <v>77.33</v>
      </c>
      <c r="F173" s="87">
        <v>2</v>
      </c>
      <c r="G173" s="90">
        <f t="shared" si="16"/>
        <v>154.66</v>
      </c>
      <c r="H173" s="90">
        <f t="shared" si="17"/>
        <v>12.88</v>
      </c>
    </row>
    <row r="174" ht="45" spans="1:8">
      <c r="A174" s="86">
        <v>7</v>
      </c>
      <c r="B174" s="87" t="s">
        <v>278</v>
      </c>
      <c r="C174" s="88" t="s">
        <v>279</v>
      </c>
      <c r="D174" s="87" t="s">
        <v>277</v>
      </c>
      <c r="E174" s="89">
        <v>6.83</v>
      </c>
      <c r="F174" s="87">
        <v>4</v>
      </c>
      <c r="G174" s="90">
        <f t="shared" si="16"/>
        <v>27.32</v>
      </c>
      <c r="H174" s="90">
        <f t="shared" si="17"/>
        <v>2.27</v>
      </c>
    </row>
    <row r="175" ht="45" spans="1:8">
      <c r="A175" s="86">
        <v>8</v>
      </c>
      <c r="B175" s="87" t="s">
        <v>280</v>
      </c>
      <c r="C175" s="88" t="s">
        <v>281</v>
      </c>
      <c r="D175" s="87" t="s">
        <v>269</v>
      </c>
      <c r="E175" s="89">
        <v>5.02</v>
      </c>
      <c r="F175" s="87">
        <v>1</v>
      </c>
      <c r="G175" s="90">
        <f t="shared" si="16"/>
        <v>5.02</v>
      </c>
      <c r="H175" s="90">
        <f t="shared" si="17"/>
        <v>0.41</v>
      </c>
    </row>
    <row r="176" ht="60" spans="1:8">
      <c r="A176" s="86">
        <v>9</v>
      </c>
      <c r="B176" s="87" t="s">
        <v>294</v>
      </c>
      <c r="C176" s="88" t="s">
        <v>315</v>
      </c>
      <c r="D176" s="87" t="s">
        <v>269</v>
      </c>
      <c r="E176" s="89">
        <v>157.75</v>
      </c>
      <c r="F176" s="87">
        <v>1</v>
      </c>
      <c r="G176" s="90">
        <f t="shared" si="16"/>
        <v>157.75</v>
      </c>
      <c r="H176" s="90">
        <f t="shared" si="17"/>
        <v>13.14</v>
      </c>
    </row>
    <row r="177" ht="60" spans="1:8">
      <c r="A177" s="86">
        <v>10</v>
      </c>
      <c r="B177" s="87" t="s">
        <v>296</v>
      </c>
      <c r="C177" s="88" t="s">
        <v>297</v>
      </c>
      <c r="D177" s="87" t="s">
        <v>298</v>
      </c>
      <c r="E177" s="89">
        <v>335.21</v>
      </c>
      <c r="F177" s="87">
        <v>1</v>
      </c>
      <c r="G177" s="90">
        <f t="shared" si="16"/>
        <v>335.21</v>
      </c>
      <c r="H177" s="90">
        <f t="shared" si="17"/>
        <v>27.93</v>
      </c>
    </row>
    <row r="178" ht="60" spans="1:8">
      <c r="A178" s="86">
        <v>11</v>
      </c>
      <c r="B178" s="87" t="s">
        <v>299</v>
      </c>
      <c r="C178" s="88" t="s">
        <v>301</v>
      </c>
      <c r="D178" s="87" t="s">
        <v>277</v>
      </c>
      <c r="E178" s="89">
        <v>2.63</v>
      </c>
      <c r="F178" s="87">
        <v>6</v>
      </c>
      <c r="G178" s="90">
        <f t="shared" si="16"/>
        <v>15.78</v>
      </c>
      <c r="H178" s="90">
        <f t="shared" si="17"/>
        <v>1.31</v>
      </c>
    </row>
    <row r="179" ht="75" spans="1:8">
      <c r="A179" s="86">
        <v>12</v>
      </c>
      <c r="B179" s="87" t="s">
        <v>302</v>
      </c>
      <c r="C179" s="88" t="s">
        <v>303</v>
      </c>
      <c r="D179" s="87" t="s">
        <v>269</v>
      </c>
      <c r="E179" s="89">
        <v>6.22</v>
      </c>
      <c r="F179" s="87">
        <v>2</v>
      </c>
      <c r="G179" s="90">
        <f t="shared" si="16"/>
        <v>12.44</v>
      </c>
      <c r="H179" s="90">
        <f t="shared" si="17"/>
        <v>1.03</v>
      </c>
    </row>
    <row r="180" ht="45" spans="1:8">
      <c r="A180" s="86">
        <v>13</v>
      </c>
      <c r="B180" s="87" t="s">
        <v>304</v>
      </c>
      <c r="C180" s="88" t="s">
        <v>305</v>
      </c>
      <c r="D180" s="87" t="s">
        <v>269</v>
      </c>
      <c r="E180" s="89">
        <v>1.19</v>
      </c>
      <c r="F180" s="87">
        <v>4</v>
      </c>
      <c r="G180" s="90">
        <f t="shared" si="16"/>
        <v>4.76</v>
      </c>
      <c r="H180" s="90">
        <f t="shared" si="17"/>
        <v>0.39</v>
      </c>
    </row>
    <row r="181" ht="30" spans="1:8">
      <c r="A181" s="86">
        <v>14</v>
      </c>
      <c r="B181" s="87" t="s">
        <v>306</v>
      </c>
      <c r="C181" s="88" t="s">
        <v>307</v>
      </c>
      <c r="D181" s="87" t="s">
        <v>269</v>
      </c>
      <c r="E181" s="89">
        <v>8.46</v>
      </c>
      <c r="F181" s="87">
        <v>4</v>
      </c>
      <c r="G181" s="90">
        <f t="shared" si="16"/>
        <v>33.84</v>
      </c>
      <c r="H181" s="90">
        <f t="shared" si="17"/>
        <v>2.82</v>
      </c>
    </row>
    <row r="182" ht="105" spans="1:8">
      <c r="A182" s="86">
        <v>15</v>
      </c>
      <c r="B182" s="87" t="s">
        <v>308</v>
      </c>
      <c r="C182" s="88" t="s">
        <v>309</v>
      </c>
      <c r="D182" s="87" t="s">
        <v>269</v>
      </c>
      <c r="E182" s="89">
        <v>1.13</v>
      </c>
      <c r="F182" s="87">
        <v>12</v>
      </c>
      <c r="G182" s="90">
        <f t="shared" si="16"/>
        <v>13.56</v>
      </c>
      <c r="H182" s="90">
        <f t="shared" si="17"/>
        <v>1.13</v>
      </c>
    </row>
    <row r="183" spans="1:8">
      <c r="A183" s="93" t="s">
        <v>190</v>
      </c>
      <c r="B183" s="93"/>
      <c r="C183" s="93"/>
      <c r="D183" s="93"/>
      <c r="E183" s="93"/>
      <c r="F183" s="93"/>
      <c r="G183" s="94">
        <f>TRUNC(SUM(H168:H182),2)</f>
        <v>109.63</v>
      </c>
      <c r="H183" s="94"/>
    </row>
    <row r="184" spans="1:8">
      <c r="A184" s="95"/>
      <c r="B184" s="86"/>
      <c r="C184" s="95"/>
      <c r="D184" s="96"/>
      <c r="E184" s="95"/>
      <c r="F184" s="95"/>
      <c r="G184" s="95"/>
      <c r="H184" s="95"/>
    </row>
    <row r="185" spans="1:8">
      <c r="A185" s="95"/>
      <c r="B185" s="86"/>
      <c r="C185" s="95"/>
      <c r="D185" s="96"/>
      <c r="E185" s="95"/>
      <c r="F185" s="95"/>
      <c r="G185" s="95"/>
      <c r="H185" s="95"/>
    </row>
    <row r="186" spans="1:8">
      <c r="A186" s="79" t="s">
        <v>287</v>
      </c>
      <c r="B186" s="80"/>
      <c r="C186" s="79"/>
      <c r="D186" s="81"/>
      <c r="E186" s="79"/>
      <c r="F186" s="79"/>
      <c r="G186" s="79"/>
      <c r="H186" s="79"/>
    </row>
    <row r="187" spans="1:8">
      <c r="A187" s="82" t="s">
        <v>310</v>
      </c>
      <c r="B187" s="83"/>
      <c r="C187" s="82"/>
      <c r="D187" s="84"/>
      <c r="E187" s="82"/>
      <c r="F187" s="82"/>
      <c r="G187" s="82"/>
      <c r="H187" s="82"/>
    </row>
    <row r="188" ht="60" spans="1:8">
      <c r="A188" s="85" t="s">
        <v>259</v>
      </c>
      <c r="B188" s="85" t="s">
        <v>260</v>
      </c>
      <c r="C188" s="85" t="s">
        <v>261</v>
      </c>
      <c r="D188" s="85" t="s">
        <v>262</v>
      </c>
      <c r="E188" s="85" t="s">
        <v>263</v>
      </c>
      <c r="F188" s="85" t="s">
        <v>264</v>
      </c>
      <c r="G188" s="85" t="s">
        <v>265</v>
      </c>
      <c r="H188" s="85" t="s">
        <v>266</v>
      </c>
    </row>
    <row r="189" ht="60" spans="1:8">
      <c r="A189" s="86">
        <v>1</v>
      </c>
      <c r="B189" s="87" t="s">
        <v>267</v>
      </c>
      <c r="C189" s="97" t="s">
        <v>311</v>
      </c>
      <c r="D189" s="87" t="s">
        <v>269</v>
      </c>
      <c r="E189" s="89">
        <v>48.68</v>
      </c>
      <c r="F189" s="87">
        <v>4</v>
      </c>
      <c r="G189" s="90">
        <f>TRUNC(F189*E189,2)</f>
        <v>194.72</v>
      </c>
      <c r="H189" s="90">
        <f>TRUNC(G189/12,2)</f>
        <v>16.22</v>
      </c>
    </row>
    <row r="190" ht="60" spans="1:8">
      <c r="A190" s="86">
        <v>2</v>
      </c>
      <c r="B190" s="87" t="s">
        <v>272</v>
      </c>
      <c r="C190" s="97" t="s">
        <v>312</v>
      </c>
      <c r="D190" s="87" t="s">
        <v>269</v>
      </c>
      <c r="E190" s="89">
        <v>28.63</v>
      </c>
      <c r="F190" s="87">
        <v>4</v>
      </c>
      <c r="G190" s="90">
        <f t="shared" ref="G190:G204" si="18">TRUNC(F190*E190,2)</f>
        <v>114.52</v>
      </c>
      <c r="H190" s="90">
        <f t="shared" ref="H190:H204" si="19">TRUNC(G190/12,2)</f>
        <v>9.54</v>
      </c>
    </row>
    <row r="191" ht="60" spans="1:8">
      <c r="A191" s="86">
        <v>3</v>
      </c>
      <c r="B191" s="87" t="s">
        <v>272</v>
      </c>
      <c r="C191" s="97" t="s">
        <v>274</v>
      </c>
      <c r="D191" s="87" t="s">
        <v>269</v>
      </c>
      <c r="E191" s="89">
        <v>25.17</v>
      </c>
      <c r="F191" s="87">
        <v>4</v>
      </c>
      <c r="G191" s="90">
        <f t="shared" si="18"/>
        <v>100.68</v>
      </c>
      <c r="H191" s="90">
        <f t="shared" si="19"/>
        <v>8.39</v>
      </c>
    </row>
    <row r="192" ht="30" spans="1:8">
      <c r="A192" s="86">
        <v>4</v>
      </c>
      <c r="B192" s="92" t="s">
        <v>291</v>
      </c>
      <c r="C192" s="97" t="s">
        <v>292</v>
      </c>
      <c r="D192" s="87" t="s">
        <v>269</v>
      </c>
      <c r="E192" s="89">
        <v>23.32</v>
      </c>
      <c r="F192" s="87">
        <v>2</v>
      </c>
      <c r="G192" s="90">
        <f t="shared" si="18"/>
        <v>46.64</v>
      </c>
      <c r="H192" s="90">
        <f t="shared" si="19"/>
        <v>3.88</v>
      </c>
    </row>
    <row r="193" ht="90" spans="1:8">
      <c r="A193" s="86">
        <v>5</v>
      </c>
      <c r="B193" s="92" t="s">
        <v>285</v>
      </c>
      <c r="C193" s="97" t="s">
        <v>286</v>
      </c>
      <c r="D193" s="87" t="s">
        <v>277</v>
      </c>
      <c r="E193" s="89">
        <v>49.76</v>
      </c>
      <c r="F193" s="87">
        <v>2</v>
      </c>
      <c r="G193" s="90">
        <f t="shared" si="18"/>
        <v>99.52</v>
      </c>
      <c r="H193" s="90">
        <f t="shared" si="19"/>
        <v>8.29</v>
      </c>
    </row>
    <row r="194" ht="60" spans="1:8">
      <c r="A194" s="86">
        <v>6</v>
      </c>
      <c r="B194" s="87" t="s">
        <v>275</v>
      </c>
      <c r="C194" s="97" t="s">
        <v>318</v>
      </c>
      <c r="D194" s="87" t="s">
        <v>277</v>
      </c>
      <c r="E194" s="89">
        <v>49.23</v>
      </c>
      <c r="F194" s="87">
        <v>2</v>
      </c>
      <c r="G194" s="90">
        <f t="shared" si="18"/>
        <v>98.46</v>
      </c>
      <c r="H194" s="90">
        <f t="shared" si="19"/>
        <v>8.2</v>
      </c>
    </row>
    <row r="195" ht="105" spans="1:8">
      <c r="A195" s="86">
        <v>7</v>
      </c>
      <c r="B195" s="87" t="s">
        <v>275</v>
      </c>
      <c r="C195" s="97" t="s">
        <v>320</v>
      </c>
      <c r="D195" s="87" t="s">
        <v>277</v>
      </c>
      <c r="E195" s="89">
        <v>64.33</v>
      </c>
      <c r="F195" s="87">
        <v>1</v>
      </c>
      <c r="G195" s="90">
        <f t="shared" si="18"/>
        <v>64.33</v>
      </c>
      <c r="H195" s="90">
        <f t="shared" si="19"/>
        <v>5.36</v>
      </c>
    </row>
    <row r="196" ht="45" spans="1:8">
      <c r="A196" s="86">
        <v>8</v>
      </c>
      <c r="B196" s="87" t="s">
        <v>278</v>
      </c>
      <c r="C196" s="97" t="s">
        <v>279</v>
      </c>
      <c r="D196" s="87" t="s">
        <v>277</v>
      </c>
      <c r="E196" s="89">
        <v>6.83</v>
      </c>
      <c r="F196" s="87">
        <v>4</v>
      </c>
      <c r="G196" s="90">
        <f t="shared" si="18"/>
        <v>27.32</v>
      </c>
      <c r="H196" s="90">
        <f t="shared" si="19"/>
        <v>2.27</v>
      </c>
    </row>
    <row r="197" ht="45" spans="1:8">
      <c r="A197" s="86">
        <v>9</v>
      </c>
      <c r="B197" s="87" t="s">
        <v>280</v>
      </c>
      <c r="C197" s="97" t="s">
        <v>281</v>
      </c>
      <c r="D197" s="87" t="s">
        <v>269</v>
      </c>
      <c r="E197" s="89">
        <v>5.02</v>
      </c>
      <c r="F197" s="87">
        <v>1</v>
      </c>
      <c r="G197" s="90">
        <f t="shared" si="18"/>
        <v>5.02</v>
      </c>
      <c r="H197" s="90">
        <f t="shared" si="19"/>
        <v>0.41</v>
      </c>
    </row>
    <row r="198" ht="60" spans="1:8">
      <c r="A198" s="86">
        <v>10</v>
      </c>
      <c r="B198" s="87" t="s">
        <v>294</v>
      </c>
      <c r="C198" s="97" t="s">
        <v>315</v>
      </c>
      <c r="D198" s="87" t="s">
        <v>269</v>
      </c>
      <c r="E198" s="89">
        <v>157.75</v>
      </c>
      <c r="F198" s="87">
        <v>1</v>
      </c>
      <c r="G198" s="90">
        <f t="shared" si="18"/>
        <v>157.75</v>
      </c>
      <c r="H198" s="90">
        <f t="shared" si="19"/>
        <v>13.14</v>
      </c>
    </row>
    <row r="199" ht="60" spans="1:8">
      <c r="A199" s="86">
        <v>11</v>
      </c>
      <c r="B199" s="87" t="s">
        <v>296</v>
      </c>
      <c r="C199" s="97" t="s">
        <v>297</v>
      </c>
      <c r="D199" s="87" t="s">
        <v>298</v>
      </c>
      <c r="E199" s="89">
        <v>335.21</v>
      </c>
      <c r="F199" s="87">
        <v>1</v>
      </c>
      <c r="G199" s="90">
        <f t="shared" si="18"/>
        <v>335.21</v>
      </c>
      <c r="H199" s="90">
        <f t="shared" si="19"/>
        <v>27.93</v>
      </c>
    </row>
    <row r="200" ht="60" spans="1:8">
      <c r="A200" s="86">
        <v>12</v>
      </c>
      <c r="B200" s="87" t="s">
        <v>299</v>
      </c>
      <c r="C200" s="97" t="s">
        <v>301</v>
      </c>
      <c r="D200" s="87" t="s">
        <v>277</v>
      </c>
      <c r="E200" s="89">
        <v>2.63</v>
      </c>
      <c r="F200" s="87">
        <v>6</v>
      </c>
      <c r="G200" s="90">
        <f t="shared" si="18"/>
        <v>15.78</v>
      </c>
      <c r="H200" s="90">
        <f t="shared" si="19"/>
        <v>1.31</v>
      </c>
    </row>
    <row r="201" ht="75" spans="1:8">
      <c r="A201" s="86">
        <v>13</v>
      </c>
      <c r="B201" s="87" t="s">
        <v>302</v>
      </c>
      <c r="C201" s="97" t="s">
        <v>303</v>
      </c>
      <c r="D201" s="87" t="s">
        <v>269</v>
      </c>
      <c r="E201" s="89">
        <v>6.22</v>
      </c>
      <c r="F201" s="87">
        <v>2</v>
      </c>
      <c r="G201" s="90">
        <f t="shared" si="18"/>
        <v>12.44</v>
      </c>
      <c r="H201" s="90">
        <f t="shared" si="19"/>
        <v>1.03</v>
      </c>
    </row>
    <row r="202" ht="45" spans="1:8">
      <c r="A202" s="86">
        <v>14</v>
      </c>
      <c r="B202" s="87" t="s">
        <v>304</v>
      </c>
      <c r="C202" s="97" t="s">
        <v>305</v>
      </c>
      <c r="D202" s="87" t="s">
        <v>269</v>
      </c>
      <c r="E202" s="89">
        <v>1.19</v>
      </c>
      <c r="F202" s="87">
        <v>4</v>
      </c>
      <c r="G202" s="90">
        <f t="shared" si="18"/>
        <v>4.76</v>
      </c>
      <c r="H202" s="90">
        <f t="shared" si="19"/>
        <v>0.39</v>
      </c>
    </row>
    <row r="203" ht="30" spans="1:8">
      <c r="A203" s="86">
        <v>15</v>
      </c>
      <c r="B203" s="87" t="s">
        <v>306</v>
      </c>
      <c r="C203" s="97" t="s">
        <v>307</v>
      </c>
      <c r="D203" s="87" t="s">
        <v>269</v>
      </c>
      <c r="E203" s="89">
        <v>8.46</v>
      </c>
      <c r="F203" s="87">
        <v>4</v>
      </c>
      <c r="G203" s="90">
        <f t="shared" si="18"/>
        <v>33.84</v>
      </c>
      <c r="H203" s="90">
        <f t="shared" si="19"/>
        <v>2.82</v>
      </c>
    </row>
    <row r="204" ht="105" spans="1:8">
      <c r="A204" s="86">
        <v>16</v>
      </c>
      <c r="B204" s="86" t="s">
        <v>308</v>
      </c>
      <c r="C204" s="97" t="s">
        <v>309</v>
      </c>
      <c r="D204" s="87" t="s">
        <v>269</v>
      </c>
      <c r="E204" s="89">
        <v>1.13</v>
      </c>
      <c r="F204" s="87">
        <v>12</v>
      </c>
      <c r="G204" s="90">
        <f t="shared" si="18"/>
        <v>13.56</v>
      </c>
      <c r="H204" s="90">
        <f t="shared" si="19"/>
        <v>1.13</v>
      </c>
    </row>
    <row r="205" spans="1:8">
      <c r="A205" s="93" t="s">
        <v>190</v>
      </c>
      <c r="B205" s="93"/>
      <c r="C205" s="93"/>
      <c r="D205" s="93"/>
      <c r="E205" s="93"/>
      <c r="F205" s="93"/>
      <c r="G205" s="94">
        <f>TRUNC(SUM(H189:H204),2)</f>
        <v>110.31</v>
      </c>
      <c r="H205" s="94"/>
    </row>
    <row r="206" spans="1:8">
      <c r="A206" s="95"/>
      <c r="B206" s="86"/>
      <c r="C206" s="95"/>
      <c r="D206" s="96"/>
      <c r="E206" s="95"/>
      <c r="F206" s="95"/>
      <c r="G206" s="95"/>
      <c r="H206" s="95"/>
    </row>
    <row r="207" spans="1:8">
      <c r="A207" s="95"/>
      <c r="B207" s="86"/>
      <c r="C207" s="95"/>
      <c r="D207" s="96"/>
      <c r="E207" s="95"/>
      <c r="F207" s="95"/>
      <c r="G207" s="95"/>
      <c r="H207" s="95"/>
    </row>
    <row r="208" spans="1:8">
      <c r="A208" s="79" t="s">
        <v>287</v>
      </c>
      <c r="B208" s="80"/>
      <c r="C208" s="79"/>
      <c r="D208" s="81"/>
      <c r="E208" s="79"/>
      <c r="F208" s="79"/>
      <c r="G208" s="79"/>
      <c r="H208" s="79"/>
    </row>
    <row r="209" spans="1:8">
      <c r="A209" s="82" t="s">
        <v>321</v>
      </c>
      <c r="B209" s="83"/>
      <c r="C209" s="82"/>
      <c r="D209" s="84"/>
      <c r="E209" s="82"/>
      <c r="F209" s="82"/>
      <c r="G209" s="82"/>
      <c r="H209" s="82"/>
    </row>
    <row r="210" ht="60" spans="1:8">
      <c r="A210" s="85" t="s">
        <v>259</v>
      </c>
      <c r="B210" s="85" t="s">
        <v>260</v>
      </c>
      <c r="C210" s="85" t="s">
        <v>261</v>
      </c>
      <c r="D210" s="85" t="s">
        <v>262</v>
      </c>
      <c r="E210" s="85" t="s">
        <v>263</v>
      </c>
      <c r="F210" s="85" t="s">
        <v>264</v>
      </c>
      <c r="G210" s="85" t="s">
        <v>265</v>
      </c>
      <c r="H210" s="85" t="s">
        <v>266</v>
      </c>
    </row>
    <row r="211" ht="60" spans="1:8">
      <c r="A211" s="86">
        <v>1</v>
      </c>
      <c r="B211" s="87" t="s">
        <v>267</v>
      </c>
      <c r="C211" s="88" t="s">
        <v>311</v>
      </c>
      <c r="D211" s="87" t="s">
        <v>269</v>
      </c>
      <c r="E211" s="89">
        <v>48.68</v>
      </c>
      <c r="F211" s="87">
        <v>4</v>
      </c>
      <c r="G211" s="90">
        <f>TRUNC(F211*E211,2)</f>
        <v>194.72</v>
      </c>
      <c r="H211" s="90">
        <f>TRUNC(G211/12,2)</f>
        <v>16.22</v>
      </c>
    </row>
    <row r="212" ht="60" spans="1:8">
      <c r="A212" s="86">
        <v>2</v>
      </c>
      <c r="B212" s="87" t="s">
        <v>272</v>
      </c>
      <c r="C212" s="88" t="s">
        <v>312</v>
      </c>
      <c r="D212" s="87" t="s">
        <v>269</v>
      </c>
      <c r="E212" s="89">
        <v>28.63</v>
      </c>
      <c r="F212" s="87">
        <v>4</v>
      </c>
      <c r="G212" s="90">
        <f t="shared" ref="G212:G223" si="20">TRUNC(F212*E212,2)</f>
        <v>114.52</v>
      </c>
      <c r="H212" s="90">
        <f t="shared" ref="H212:H223" si="21">TRUNC(G212/12,2)</f>
        <v>9.54</v>
      </c>
    </row>
    <row r="213" ht="60" spans="1:8">
      <c r="A213" s="86">
        <v>3</v>
      </c>
      <c r="B213" s="87" t="s">
        <v>272</v>
      </c>
      <c r="C213" s="91" t="s">
        <v>274</v>
      </c>
      <c r="D213" s="87" t="s">
        <v>269</v>
      </c>
      <c r="E213" s="89">
        <v>25.17</v>
      </c>
      <c r="F213" s="87">
        <v>4</v>
      </c>
      <c r="G213" s="90">
        <f t="shared" si="20"/>
        <v>100.68</v>
      </c>
      <c r="H213" s="90">
        <f t="shared" si="21"/>
        <v>8.39</v>
      </c>
    </row>
    <row r="214" ht="30" spans="1:8">
      <c r="A214" s="86">
        <v>4</v>
      </c>
      <c r="B214" s="92" t="s">
        <v>291</v>
      </c>
      <c r="C214" s="88" t="s">
        <v>292</v>
      </c>
      <c r="D214" s="87" t="s">
        <v>269</v>
      </c>
      <c r="E214" s="89">
        <v>23.32</v>
      </c>
      <c r="F214" s="87">
        <v>2</v>
      </c>
      <c r="G214" s="90">
        <f t="shared" si="20"/>
        <v>46.64</v>
      </c>
      <c r="H214" s="90">
        <f t="shared" si="21"/>
        <v>3.88</v>
      </c>
    </row>
    <row r="215" ht="90" spans="1:8">
      <c r="A215" s="86">
        <v>5</v>
      </c>
      <c r="B215" s="92" t="s">
        <v>285</v>
      </c>
      <c r="C215" s="88" t="s">
        <v>286</v>
      </c>
      <c r="D215" s="87" t="s">
        <v>277</v>
      </c>
      <c r="E215" s="89">
        <v>49.76</v>
      </c>
      <c r="F215" s="87">
        <v>2</v>
      </c>
      <c r="G215" s="90">
        <f t="shared" si="20"/>
        <v>99.52</v>
      </c>
      <c r="H215" s="90">
        <f t="shared" si="21"/>
        <v>8.29</v>
      </c>
    </row>
    <row r="216" ht="60" spans="1:8">
      <c r="A216" s="86">
        <v>6</v>
      </c>
      <c r="B216" s="87" t="s">
        <v>275</v>
      </c>
      <c r="C216" s="88" t="s">
        <v>318</v>
      </c>
      <c r="D216" s="87" t="s">
        <v>277</v>
      </c>
      <c r="E216" s="89">
        <v>49.23</v>
      </c>
      <c r="F216" s="87">
        <v>2</v>
      </c>
      <c r="G216" s="90">
        <f t="shared" si="20"/>
        <v>98.46</v>
      </c>
      <c r="H216" s="90">
        <f t="shared" si="21"/>
        <v>8.2</v>
      </c>
    </row>
    <row r="217" ht="105" spans="1:8">
      <c r="A217" s="86">
        <v>7</v>
      </c>
      <c r="B217" s="87" t="s">
        <v>275</v>
      </c>
      <c r="C217" s="88" t="s">
        <v>320</v>
      </c>
      <c r="D217" s="87" t="s">
        <v>277</v>
      </c>
      <c r="E217" s="89">
        <v>64.33</v>
      </c>
      <c r="F217" s="87">
        <v>1</v>
      </c>
      <c r="G217" s="90">
        <f t="shared" si="20"/>
        <v>64.33</v>
      </c>
      <c r="H217" s="90">
        <f t="shared" si="21"/>
        <v>5.36</v>
      </c>
    </row>
    <row r="218" ht="45" spans="1:8">
      <c r="A218" s="86">
        <v>8</v>
      </c>
      <c r="B218" s="87" t="s">
        <v>278</v>
      </c>
      <c r="C218" s="88" t="s">
        <v>279</v>
      </c>
      <c r="D218" s="87" t="s">
        <v>277</v>
      </c>
      <c r="E218" s="89">
        <v>6.83</v>
      </c>
      <c r="F218" s="87">
        <v>4</v>
      </c>
      <c r="G218" s="90">
        <f t="shared" si="20"/>
        <v>27.32</v>
      </c>
      <c r="H218" s="90">
        <f t="shared" si="21"/>
        <v>2.27</v>
      </c>
    </row>
    <row r="219" ht="45" spans="1:8">
      <c r="A219" s="86">
        <v>9</v>
      </c>
      <c r="B219" s="87" t="s">
        <v>280</v>
      </c>
      <c r="C219" s="88" t="s">
        <v>281</v>
      </c>
      <c r="D219" s="87" t="s">
        <v>269</v>
      </c>
      <c r="E219" s="89">
        <v>5.02</v>
      </c>
      <c r="F219" s="87">
        <v>1</v>
      </c>
      <c r="G219" s="90">
        <f t="shared" si="20"/>
        <v>5.02</v>
      </c>
      <c r="H219" s="90">
        <f t="shared" si="21"/>
        <v>0.41</v>
      </c>
    </row>
    <row r="220" ht="60" spans="1:8">
      <c r="A220" s="86">
        <v>10</v>
      </c>
      <c r="B220" s="87" t="s">
        <v>299</v>
      </c>
      <c r="C220" s="88" t="s">
        <v>301</v>
      </c>
      <c r="D220" s="87" t="s">
        <v>277</v>
      </c>
      <c r="E220" s="89">
        <v>2.63</v>
      </c>
      <c r="F220" s="87">
        <v>4</v>
      </c>
      <c r="G220" s="90">
        <f t="shared" si="20"/>
        <v>10.52</v>
      </c>
      <c r="H220" s="90">
        <f t="shared" si="21"/>
        <v>0.87</v>
      </c>
    </row>
    <row r="221" ht="75" spans="1:8">
      <c r="A221" s="86">
        <v>11</v>
      </c>
      <c r="B221" s="87" t="s">
        <v>302</v>
      </c>
      <c r="C221" s="88" t="s">
        <v>303</v>
      </c>
      <c r="D221" s="87" t="s">
        <v>269</v>
      </c>
      <c r="E221" s="89">
        <v>6.22</v>
      </c>
      <c r="F221" s="87">
        <v>2</v>
      </c>
      <c r="G221" s="90">
        <f t="shared" si="20"/>
        <v>12.44</v>
      </c>
      <c r="H221" s="90">
        <f t="shared" si="21"/>
        <v>1.03</v>
      </c>
    </row>
    <row r="222" ht="75" spans="1:8">
      <c r="A222" s="86">
        <v>12</v>
      </c>
      <c r="B222" s="87" t="s">
        <v>322</v>
      </c>
      <c r="C222" s="88" t="s">
        <v>323</v>
      </c>
      <c r="D222" s="87" t="s">
        <v>269</v>
      </c>
      <c r="E222" s="89">
        <v>11.99</v>
      </c>
      <c r="F222" s="87">
        <v>1</v>
      </c>
      <c r="G222" s="90">
        <f t="shared" si="20"/>
        <v>11.99</v>
      </c>
      <c r="H222" s="90">
        <f t="shared" si="21"/>
        <v>0.99</v>
      </c>
    </row>
    <row r="223" ht="30" spans="1:8">
      <c r="A223" s="86">
        <v>13</v>
      </c>
      <c r="B223" s="87" t="s">
        <v>306</v>
      </c>
      <c r="C223" s="88" t="s">
        <v>307</v>
      </c>
      <c r="D223" s="87" t="s">
        <v>269</v>
      </c>
      <c r="E223" s="89">
        <v>8.46</v>
      </c>
      <c r="F223" s="87">
        <v>4</v>
      </c>
      <c r="G223" s="90">
        <f t="shared" si="20"/>
        <v>33.84</v>
      </c>
      <c r="H223" s="90">
        <f t="shared" si="21"/>
        <v>2.82</v>
      </c>
    </row>
    <row r="224" spans="1:8">
      <c r="A224" s="93" t="s">
        <v>190</v>
      </c>
      <c r="B224" s="93"/>
      <c r="C224" s="93"/>
      <c r="D224" s="93"/>
      <c r="E224" s="93"/>
      <c r="F224" s="93"/>
      <c r="G224" s="94">
        <f>TRUNC(SUM(H211:H223),2)</f>
        <v>68.27</v>
      </c>
      <c r="H224" s="94"/>
    </row>
    <row r="225" spans="1:8">
      <c r="A225" s="95"/>
      <c r="B225" s="86"/>
      <c r="C225" s="95"/>
      <c r="D225" s="96"/>
      <c r="E225" s="95"/>
      <c r="F225" s="95"/>
      <c r="G225" s="95"/>
      <c r="H225" s="95"/>
    </row>
    <row r="226" spans="1:8">
      <c r="A226" s="95"/>
      <c r="B226" s="86"/>
      <c r="C226" s="95"/>
      <c r="D226" s="96"/>
      <c r="E226" s="95"/>
      <c r="F226" s="95"/>
      <c r="G226" s="95"/>
      <c r="H226" s="95"/>
    </row>
    <row r="227" spans="1:8">
      <c r="A227" s="79" t="s">
        <v>287</v>
      </c>
      <c r="B227" s="80"/>
      <c r="C227" s="79"/>
      <c r="D227" s="81"/>
      <c r="E227" s="79"/>
      <c r="F227" s="79"/>
      <c r="G227" s="79"/>
      <c r="H227" s="79"/>
    </row>
    <row r="228" spans="1:8">
      <c r="A228" s="82" t="s">
        <v>324</v>
      </c>
      <c r="B228" s="83"/>
      <c r="C228" s="82"/>
      <c r="D228" s="84"/>
      <c r="E228" s="82"/>
      <c r="F228" s="82"/>
      <c r="G228" s="82"/>
      <c r="H228" s="82"/>
    </row>
    <row r="229" ht="60" spans="1:8">
      <c r="A229" s="85" t="s">
        <v>259</v>
      </c>
      <c r="B229" s="85" t="s">
        <v>260</v>
      </c>
      <c r="C229" s="85" t="s">
        <v>261</v>
      </c>
      <c r="D229" s="85" t="s">
        <v>262</v>
      </c>
      <c r="E229" s="85" t="s">
        <v>263</v>
      </c>
      <c r="F229" s="85" t="s">
        <v>264</v>
      </c>
      <c r="G229" s="85" t="s">
        <v>265</v>
      </c>
      <c r="H229" s="85" t="s">
        <v>266</v>
      </c>
    </row>
    <row r="230" ht="60" spans="1:8">
      <c r="A230" s="86">
        <v>1</v>
      </c>
      <c r="B230" s="87" t="s">
        <v>267</v>
      </c>
      <c r="C230" s="88" t="s">
        <v>311</v>
      </c>
      <c r="D230" s="87" t="s">
        <v>269</v>
      </c>
      <c r="E230" s="89">
        <v>48.68</v>
      </c>
      <c r="F230" s="87">
        <v>4</v>
      </c>
      <c r="G230" s="90">
        <f>TRUNC(F230*E230,2)</f>
        <v>194.72</v>
      </c>
      <c r="H230" s="90">
        <f>TRUNC(G230/12,2)</f>
        <v>16.22</v>
      </c>
    </row>
    <row r="231" ht="60" spans="1:8">
      <c r="A231" s="86">
        <v>2</v>
      </c>
      <c r="B231" s="87" t="s">
        <v>272</v>
      </c>
      <c r="C231" s="88" t="s">
        <v>312</v>
      </c>
      <c r="D231" s="87" t="s">
        <v>269</v>
      </c>
      <c r="E231" s="89">
        <v>28.63</v>
      </c>
      <c r="F231" s="87">
        <v>4</v>
      </c>
      <c r="G231" s="90">
        <f t="shared" ref="G231:G240" si="22">TRUNC(F231*E231,2)</f>
        <v>114.52</v>
      </c>
      <c r="H231" s="90">
        <f t="shared" ref="H231:H241" si="23">TRUNC(G231/12,2)</f>
        <v>9.54</v>
      </c>
    </row>
    <row r="232" ht="60" spans="1:8">
      <c r="A232" s="86">
        <v>3</v>
      </c>
      <c r="B232" s="92" t="s">
        <v>272</v>
      </c>
      <c r="C232" s="88" t="s">
        <v>274</v>
      </c>
      <c r="D232" s="92" t="s">
        <v>269</v>
      </c>
      <c r="E232" s="89">
        <v>25.17</v>
      </c>
      <c r="F232" s="87">
        <v>4</v>
      </c>
      <c r="G232" s="90">
        <f t="shared" si="22"/>
        <v>100.68</v>
      </c>
      <c r="H232" s="90">
        <f t="shared" si="23"/>
        <v>8.39</v>
      </c>
    </row>
    <row r="233" ht="90" spans="1:8">
      <c r="A233" s="86">
        <v>4</v>
      </c>
      <c r="B233" s="92" t="s">
        <v>285</v>
      </c>
      <c r="C233" s="88" t="s">
        <v>286</v>
      </c>
      <c r="D233" s="87" t="s">
        <v>277</v>
      </c>
      <c r="E233" s="89">
        <v>49.76</v>
      </c>
      <c r="F233" s="87">
        <v>2</v>
      </c>
      <c r="G233" s="90">
        <f t="shared" si="22"/>
        <v>99.52</v>
      </c>
      <c r="H233" s="90">
        <f t="shared" si="23"/>
        <v>8.29</v>
      </c>
    </row>
    <row r="234" ht="60" spans="1:8">
      <c r="A234" s="86">
        <v>5</v>
      </c>
      <c r="B234" s="87" t="s">
        <v>275</v>
      </c>
      <c r="C234" s="88" t="s">
        <v>318</v>
      </c>
      <c r="D234" s="87" t="s">
        <v>277</v>
      </c>
      <c r="E234" s="89">
        <v>49.23</v>
      </c>
      <c r="F234" s="87">
        <v>2</v>
      </c>
      <c r="G234" s="90">
        <f t="shared" si="22"/>
        <v>98.46</v>
      </c>
      <c r="H234" s="90">
        <f t="shared" si="23"/>
        <v>8.2</v>
      </c>
    </row>
    <row r="235" ht="45" spans="1:8">
      <c r="A235" s="86">
        <v>6</v>
      </c>
      <c r="B235" s="87" t="s">
        <v>278</v>
      </c>
      <c r="C235" s="88" t="s">
        <v>279</v>
      </c>
      <c r="D235" s="87" t="s">
        <v>277</v>
      </c>
      <c r="E235" s="89">
        <v>6.83</v>
      </c>
      <c r="F235" s="87">
        <v>4</v>
      </c>
      <c r="G235" s="90">
        <f t="shared" si="22"/>
        <v>27.32</v>
      </c>
      <c r="H235" s="90">
        <f t="shared" si="23"/>
        <v>2.27</v>
      </c>
    </row>
    <row r="236" ht="45" spans="1:8">
      <c r="A236" s="86">
        <v>7</v>
      </c>
      <c r="B236" s="87" t="s">
        <v>280</v>
      </c>
      <c r="C236" s="88" t="s">
        <v>281</v>
      </c>
      <c r="D236" s="87" t="s">
        <v>269</v>
      </c>
      <c r="E236" s="89">
        <v>5.02</v>
      </c>
      <c r="F236" s="87">
        <v>1</v>
      </c>
      <c r="G236" s="90">
        <f t="shared" si="22"/>
        <v>5.02</v>
      </c>
      <c r="H236" s="90">
        <f t="shared" si="23"/>
        <v>0.41</v>
      </c>
    </row>
    <row r="237" ht="60" spans="1:8">
      <c r="A237" s="86">
        <v>8</v>
      </c>
      <c r="B237" s="87" t="s">
        <v>299</v>
      </c>
      <c r="C237" s="88" t="s">
        <v>301</v>
      </c>
      <c r="D237" s="87" t="s">
        <v>277</v>
      </c>
      <c r="E237" s="89">
        <v>2.63</v>
      </c>
      <c r="F237" s="87">
        <v>6</v>
      </c>
      <c r="G237" s="90">
        <f t="shared" si="22"/>
        <v>15.78</v>
      </c>
      <c r="H237" s="90">
        <f t="shared" si="23"/>
        <v>1.31</v>
      </c>
    </row>
    <row r="238" ht="75" spans="1:8">
      <c r="A238" s="86">
        <v>9</v>
      </c>
      <c r="B238" s="87" t="s">
        <v>302</v>
      </c>
      <c r="C238" s="88" t="s">
        <v>303</v>
      </c>
      <c r="D238" s="87" t="s">
        <v>269</v>
      </c>
      <c r="E238" s="89">
        <v>6.22</v>
      </c>
      <c r="F238" s="87">
        <v>2</v>
      </c>
      <c r="G238" s="90">
        <f t="shared" si="22"/>
        <v>12.44</v>
      </c>
      <c r="H238" s="90">
        <f t="shared" si="23"/>
        <v>1.03</v>
      </c>
    </row>
    <row r="239" ht="45" spans="1:8">
      <c r="A239" s="86">
        <v>10</v>
      </c>
      <c r="B239" s="87" t="s">
        <v>304</v>
      </c>
      <c r="C239" s="88" t="s">
        <v>305</v>
      </c>
      <c r="D239" s="87" t="s">
        <v>269</v>
      </c>
      <c r="E239" s="89">
        <v>1.19</v>
      </c>
      <c r="F239" s="87">
        <v>4</v>
      </c>
      <c r="G239" s="90">
        <f t="shared" si="22"/>
        <v>4.76</v>
      </c>
      <c r="H239" s="90">
        <f t="shared" si="23"/>
        <v>0.39</v>
      </c>
    </row>
    <row r="240" ht="90" spans="1:8">
      <c r="A240" s="86">
        <v>11</v>
      </c>
      <c r="B240" s="87" t="s">
        <v>325</v>
      </c>
      <c r="C240" s="88" t="s">
        <v>326</v>
      </c>
      <c r="D240" s="87" t="s">
        <v>269</v>
      </c>
      <c r="E240" s="89">
        <v>33.57</v>
      </c>
      <c r="F240" s="87">
        <v>1</v>
      </c>
      <c r="G240" s="90">
        <f t="shared" si="22"/>
        <v>33.57</v>
      </c>
      <c r="H240" s="90">
        <f t="shared" si="23"/>
        <v>2.79</v>
      </c>
    </row>
    <row r="241" spans="1:8">
      <c r="A241" s="93" t="s">
        <v>190</v>
      </c>
      <c r="B241" s="93"/>
      <c r="C241" s="93"/>
      <c r="D241" s="93"/>
      <c r="E241" s="93"/>
      <c r="F241" s="93"/>
      <c r="G241" s="94">
        <f>TRUNC(SUM(H230:H240),2)</f>
        <v>58.84</v>
      </c>
      <c r="H241" s="94"/>
    </row>
    <row r="242" spans="1:8">
      <c r="A242" s="95"/>
      <c r="B242" s="86"/>
      <c r="C242" s="95"/>
      <c r="D242" s="96"/>
      <c r="E242" s="95"/>
      <c r="F242" s="95"/>
      <c r="G242" s="95"/>
      <c r="H242" s="95"/>
    </row>
    <row r="243" spans="1:8">
      <c r="A243" s="95"/>
      <c r="B243" s="86"/>
      <c r="C243" s="95"/>
      <c r="D243" s="96"/>
      <c r="E243" s="95"/>
      <c r="F243" s="95"/>
      <c r="G243" s="95"/>
      <c r="H243" s="95"/>
    </row>
    <row r="244" spans="1:8">
      <c r="A244" s="95"/>
      <c r="B244" s="86"/>
      <c r="C244" s="95"/>
      <c r="D244" s="96"/>
      <c r="E244" s="95"/>
      <c r="F244" s="95"/>
      <c r="G244" s="95"/>
      <c r="H244" s="95"/>
    </row>
    <row r="245" spans="1:8">
      <c r="A245" s="95"/>
      <c r="B245" s="86"/>
      <c r="C245" s="95"/>
      <c r="D245" s="96"/>
      <c r="E245" s="95"/>
      <c r="F245" s="95"/>
      <c r="G245" s="95"/>
      <c r="H245" s="95"/>
    </row>
    <row r="246" spans="1:8">
      <c r="A246" s="95"/>
      <c r="B246" s="86"/>
      <c r="C246" s="95"/>
      <c r="D246" s="96"/>
      <c r="E246" s="95"/>
      <c r="F246" s="95"/>
      <c r="G246" s="95"/>
      <c r="H246" s="90"/>
    </row>
    <row r="247" spans="1:8">
      <c r="A247" s="95"/>
      <c r="B247" s="86"/>
      <c r="C247" s="95"/>
      <c r="D247" s="96"/>
      <c r="E247" s="95"/>
      <c r="F247" s="95"/>
      <c r="G247" s="95"/>
      <c r="H247" s="95"/>
    </row>
    <row r="248" spans="1:8">
      <c r="A248" s="95"/>
      <c r="B248" s="86"/>
      <c r="C248" s="95"/>
      <c r="D248" s="96"/>
      <c r="E248" s="95"/>
      <c r="F248" s="95"/>
      <c r="G248" s="95"/>
      <c r="H248" s="95"/>
    </row>
    <row r="249" spans="1:8">
      <c r="A249" s="95"/>
      <c r="B249" s="86"/>
      <c r="C249" s="95"/>
      <c r="D249" s="96"/>
      <c r="E249" s="95"/>
      <c r="F249" s="95"/>
      <c r="G249" s="95"/>
      <c r="H249" s="95"/>
    </row>
    <row r="250" spans="1:8">
      <c r="A250" s="95"/>
      <c r="B250" s="86"/>
      <c r="C250" s="95"/>
      <c r="D250" s="96"/>
      <c r="E250" s="95"/>
      <c r="F250" s="95"/>
      <c r="G250" s="95"/>
      <c r="H250" s="95"/>
    </row>
    <row r="251" spans="1:8">
      <c r="A251" s="95"/>
      <c r="B251" s="86"/>
      <c r="C251" s="95"/>
      <c r="D251" s="96"/>
      <c r="E251" s="95"/>
      <c r="F251" s="95"/>
      <c r="G251" s="95"/>
      <c r="H251" s="95"/>
    </row>
    <row r="252" spans="1:8">
      <c r="A252" s="95"/>
      <c r="B252" s="86"/>
      <c r="C252" s="95"/>
      <c r="D252" s="96"/>
      <c r="E252" s="95"/>
      <c r="F252" s="95"/>
      <c r="G252" s="95"/>
      <c r="H252" s="95"/>
    </row>
    <row r="253" spans="1:8">
      <c r="A253" s="95"/>
      <c r="B253" s="86"/>
      <c r="C253" s="95"/>
      <c r="D253" s="96"/>
      <c r="E253" s="95"/>
      <c r="F253" s="95"/>
      <c r="G253" s="95"/>
      <c r="H253" s="95"/>
    </row>
    <row r="254" spans="1:8">
      <c r="A254" s="95"/>
      <c r="B254" s="86"/>
      <c r="C254" s="95"/>
      <c r="D254" s="96"/>
      <c r="E254" s="95"/>
      <c r="F254" s="95"/>
      <c r="G254" s="95"/>
      <c r="H254" s="95"/>
    </row>
    <row r="255" spans="1:8">
      <c r="A255" s="95"/>
      <c r="B255" s="86"/>
      <c r="C255" s="95"/>
      <c r="D255" s="96"/>
      <c r="E255" s="95"/>
      <c r="F255" s="95"/>
      <c r="G255" s="95"/>
      <c r="H255" s="95"/>
    </row>
    <row r="256" spans="1:8">
      <c r="A256" s="95"/>
      <c r="B256" s="86"/>
      <c r="C256" s="95"/>
      <c r="D256" s="96"/>
      <c r="E256" s="95"/>
      <c r="F256" s="95"/>
      <c r="G256" s="95"/>
      <c r="H256" s="95"/>
    </row>
    <row r="257" spans="1:8">
      <c r="A257" s="95"/>
      <c r="B257" s="86"/>
      <c r="C257" s="95"/>
      <c r="D257" s="96"/>
      <c r="E257" s="95"/>
      <c r="F257" s="95"/>
      <c r="G257" s="95"/>
      <c r="H257" s="95"/>
    </row>
    <row r="258" spans="1:8">
      <c r="A258" s="95"/>
      <c r="B258" s="86"/>
      <c r="C258" s="95"/>
      <c r="D258" s="96"/>
      <c r="E258" s="95"/>
      <c r="F258" s="95"/>
      <c r="G258" s="95"/>
      <c r="H258" s="95"/>
    </row>
    <row r="259" spans="1:8">
      <c r="A259" s="95"/>
      <c r="B259" s="86"/>
      <c r="C259" s="95"/>
      <c r="D259" s="96"/>
      <c r="E259" s="95"/>
      <c r="F259" s="95"/>
      <c r="G259" s="95"/>
      <c r="H259" s="95"/>
    </row>
    <row r="260" spans="1:8">
      <c r="A260" s="95"/>
      <c r="B260" s="86"/>
      <c r="C260" s="95"/>
      <c r="D260" s="96"/>
      <c r="E260" s="95"/>
      <c r="F260" s="95"/>
      <c r="G260" s="95"/>
      <c r="H260" s="95"/>
    </row>
    <row r="261" spans="1:8">
      <c r="A261" s="95"/>
      <c r="B261" s="86"/>
      <c r="C261" s="95"/>
      <c r="D261" s="96"/>
      <c r="E261" s="95"/>
      <c r="F261" s="95"/>
      <c r="G261" s="95"/>
      <c r="H261" s="95"/>
    </row>
    <row r="262" spans="1:8">
      <c r="A262" s="95"/>
      <c r="B262" s="86"/>
      <c r="C262" s="95"/>
      <c r="D262" s="96"/>
      <c r="E262" s="95"/>
      <c r="F262" s="95"/>
      <c r="G262" s="95"/>
      <c r="H262" s="95"/>
    </row>
    <row r="263" spans="1:8">
      <c r="A263" s="95"/>
      <c r="B263" s="86"/>
      <c r="C263" s="95"/>
      <c r="D263" s="96"/>
      <c r="E263" s="95"/>
      <c r="F263" s="95"/>
      <c r="G263" s="95"/>
      <c r="H263" s="95"/>
    </row>
    <row r="264" spans="1:8">
      <c r="A264" s="95"/>
      <c r="B264" s="86"/>
      <c r="C264" s="95"/>
      <c r="D264" s="96"/>
      <c r="E264" s="95"/>
      <c r="F264" s="95"/>
      <c r="G264" s="95"/>
      <c r="H264" s="95"/>
    </row>
  </sheetData>
  <mergeCells count="48">
    <mergeCell ref="A1:H1"/>
    <mergeCell ref="A2:H2"/>
    <mergeCell ref="A11:F11"/>
    <mergeCell ref="G11:H11"/>
    <mergeCell ref="A14:H14"/>
    <mergeCell ref="A15:H15"/>
    <mergeCell ref="A24:F24"/>
    <mergeCell ref="G24:H24"/>
    <mergeCell ref="A27:H27"/>
    <mergeCell ref="A28:H28"/>
    <mergeCell ref="A37:F37"/>
    <mergeCell ref="G37:H37"/>
    <mergeCell ref="A40:H40"/>
    <mergeCell ref="A41:H41"/>
    <mergeCell ref="A59:F59"/>
    <mergeCell ref="G59:H59"/>
    <mergeCell ref="A62:H62"/>
    <mergeCell ref="A63:H63"/>
    <mergeCell ref="A81:F81"/>
    <mergeCell ref="G81:H81"/>
    <mergeCell ref="A101:H101"/>
    <mergeCell ref="A102:H102"/>
    <mergeCell ref="A120:F120"/>
    <mergeCell ref="G120:H120"/>
    <mergeCell ref="A123:H123"/>
    <mergeCell ref="A124:H124"/>
    <mergeCell ref="A142:F142"/>
    <mergeCell ref="G142:H142"/>
    <mergeCell ref="A145:H145"/>
    <mergeCell ref="A146:H146"/>
    <mergeCell ref="A163:F163"/>
    <mergeCell ref="G163:H163"/>
    <mergeCell ref="A165:H165"/>
    <mergeCell ref="A166:H166"/>
    <mergeCell ref="A183:F183"/>
    <mergeCell ref="G183:H183"/>
    <mergeCell ref="A186:H186"/>
    <mergeCell ref="A187:H187"/>
    <mergeCell ref="A205:F205"/>
    <mergeCell ref="G205:H205"/>
    <mergeCell ref="A208:H208"/>
    <mergeCell ref="A209:H209"/>
    <mergeCell ref="A224:F224"/>
    <mergeCell ref="G224:H224"/>
    <mergeCell ref="A227:H227"/>
    <mergeCell ref="A228:H228"/>
    <mergeCell ref="A241:F241"/>
    <mergeCell ref="G241:H241"/>
  </mergeCells>
  <pageMargins left="0.75" right="0.75" top="1" bottom="1" header="0.5" footer="0.5"/>
  <pageSetup paperSize="9" orientation="portrait"/>
  <headerFooter/>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12</vt:i4>
      </vt:variant>
    </vt:vector>
  </HeadingPairs>
  <TitlesOfParts>
    <vt:vector size="12" baseType="lpstr">
      <vt:lpstr>Orientações</vt:lpstr>
      <vt:lpstr>Servente</vt:lpstr>
      <vt:lpstr>Auxiliar Administrativo</vt:lpstr>
      <vt:lpstr>Copeiro (a)</vt:lpstr>
      <vt:lpstr>Motorista Interestadual</vt:lpstr>
      <vt:lpstr>Eletricista</vt:lpstr>
      <vt:lpstr>Auxiliar de Manutenção Predial</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2021-07-15T19:53:00Z</dcterms:created>
  <dcterms:modified xsi:type="dcterms:W3CDTF">2021-07-27T13:58:17Z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